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DieseArbeitsmappe"/>
  <mc:AlternateContent xmlns:mc="http://schemas.openxmlformats.org/markup-compatibility/2006">
    <mc:Choice Requires="x15">
      <x15ac:absPath xmlns:x15ac="http://schemas.microsoft.com/office/spreadsheetml/2010/11/ac" url="C:\Users\U80839017\AppData\Local\rubicon\Acta Nova Client\Data\712551683\"/>
    </mc:Choice>
  </mc:AlternateContent>
  <xr:revisionPtr revIDLastSave="0" documentId="13_ncr:1_{D5C92C93-2CE8-4250-AD5F-749A02B63EC1}" xr6:coauthVersionLast="47" xr6:coauthVersionMax="47" xr10:uidLastSave="{00000000-0000-0000-0000-000000000000}"/>
  <bookViews>
    <workbookView xWindow="-28920" yWindow="-120" windowWidth="29040" windowHeight="15720" tabRatio="414" xr2:uid="{E87BFAC3-31A1-483A-98FB-2B9E1B78937A}"/>
  </bookViews>
  <sheets>
    <sheet name="Aperçu" sheetId="1" r:id="rId1"/>
    <sheet name="Étape 1 - Conditions" sheetId="2" r:id="rId2"/>
    <sheet name="Étape 2 - Adéquation du tronçon" sheetId="3" r:id="rId3"/>
    <sheet name="2.1 Évaluations" sheetId="18" r:id="rId4"/>
    <sheet name="2.2 Nbre (densité) acc." sheetId="13" r:id="rId5"/>
    <sheet name="2.3 Gravité des accidents" sheetId="9" r:id="rId6"/>
    <sheet name="2.4 wsLookup" sheetId="10" r:id="rId7"/>
    <sheet name="Étape 3-Capacité assumer condui" sheetId="4" r:id="rId8"/>
  </sheets>
  <externalReferences>
    <externalReference r:id="rId9"/>
    <externalReference r:id="rId10"/>
  </externalReferences>
  <definedNames>
    <definedName name="tblJaNein">[1]!Tabelle1[JaNein]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2" l="1"/>
  <c r="I162" i="2"/>
  <c r="I161" i="2"/>
  <c r="I81" i="2"/>
  <c r="I80" i="2"/>
  <c r="I179" i="2"/>
  <c r="I177" i="2"/>
  <c r="I175" i="2"/>
  <c r="I180" i="2"/>
  <c r="I178" i="2"/>
  <c r="I176" i="2"/>
  <c r="I174" i="2"/>
  <c r="I173" i="2"/>
  <c r="I167" i="2"/>
  <c r="I165" i="2"/>
  <c r="I163" i="2"/>
  <c r="I160" i="2"/>
  <c r="I159" i="2"/>
  <c r="I158" i="2"/>
  <c r="I157" i="2"/>
  <c r="I166" i="2"/>
  <c r="I164" i="2"/>
  <c r="I151" i="2"/>
  <c r="I149" i="2"/>
  <c r="I147" i="2"/>
  <c r="I145" i="2"/>
  <c r="I143" i="2"/>
  <c r="I141" i="2"/>
  <c r="I139" i="2"/>
  <c r="I137" i="2"/>
  <c r="I135" i="2"/>
  <c r="I133" i="2"/>
  <c r="I131" i="2"/>
  <c r="I129" i="2"/>
  <c r="I127" i="2"/>
  <c r="I150" i="2"/>
  <c r="I148" i="2"/>
  <c r="I146" i="2"/>
  <c r="I144" i="2"/>
  <c r="I142" i="2"/>
  <c r="I140" i="2"/>
  <c r="I138" i="2"/>
  <c r="I136" i="2"/>
  <c r="I134" i="2"/>
  <c r="I132" i="2"/>
  <c r="I130" i="2"/>
  <c r="I128" i="2"/>
  <c r="I126" i="2"/>
  <c r="I123" i="2"/>
  <c r="I121" i="2"/>
  <c r="I119" i="2"/>
  <c r="I117" i="2"/>
  <c r="I124" i="2"/>
  <c r="I122" i="2"/>
  <c r="I120" i="2"/>
  <c r="I118" i="2"/>
  <c r="I116" i="2"/>
  <c r="I115" i="2"/>
  <c r="I109" i="2"/>
  <c r="I108" i="2"/>
  <c r="I107" i="2"/>
  <c r="I106" i="2"/>
  <c r="I105" i="2"/>
  <c r="I104" i="2"/>
  <c r="I103" i="2"/>
  <c r="I102" i="2"/>
  <c r="I101" i="2"/>
  <c r="I99" i="2"/>
  <c r="I96" i="2"/>
  <c r="I95" i="2"/>
  <c r="I94" i="2"/>
  <c r="I93" i="2"/>
  <c r="I59" i="2"/>
  <c r="I88" i="2"/>
  <c r="I92" i="2"/>
  <c r="I91" i="2"/>
  <c r="I90" i="2"/>
  <c r="I89" i="2"/>
  <c r="I84" i="2"/>
  <c r="I83" i="2"/>
  <c r="I79" i="2"/>
  <c r="I77" i="2"/>
  <c r="I75" i="2"/>
  <c r="I73" i="2"/>
  <c r="I71" i="2"/>
  <c r="I69" i="2"/>
  <c r="I82" i="2"/>
  <c r="I78" i="2"/>
  <c r="I76" i="2"/>
  <c r="I74" i="2"/>
  <c r="I72" i="2"/>
  <c r="I70" i="2"/>
  <c r="I68" i="2"/>
  <c r="I65" i="2"/>
  <c r="I63" i="2"/>
  <c r="I64" i="2"/>
  <c r="I62" i="2"/>
  <c r="I61" i="2"/>
  <c r="I60" i="2"/>
  <c r="I58" i="2"/>
  <c r="I57" i="2"/>
  <c r="I51" i="2"/>
  <c r="I42" i="2"/>
  <c r="I40" i="2"/>
  <c r="I38" i="2"/>
  <c r="I34" i="2"/>
  <c r="I33" i="2"/>
  <c r="I27" i="2"/>
  <c r="I26" i="2"/>
  <c r="I25" i="2"/>
  <c r="I18" i="2"/>
  <c r="I17" i="2"/>
  <c r="I24" i="2"/>
  <c r="I56" i="2"/>
  <c r="I52" i="2"/>
  <c r="I53" i="2"/>
  <c r="I47" i="2"/>
  <c r="I43" i="2" l="1"/>
  <c r="I41" i="2"/>
  <c r="I39" i="2"/>
  <c r="AA20" i="4" l="1" a="1"/>
  <c r="AA20" i="4" s="1"/>
  <c r="P20" i="4" s="1"/>
  <c r="P23" i="4"/>
  <c r="P27" i="4"/>
  <c r="P28" i="4"/>
  <c r="P30" i="4"/>
  <c r="P31" i="4"/>
  <c r="P35" i="4"/>
  <c r="P36" i="4"/>
  <c r="P38" i="4"/>
  <c r="P39" i="4"/>
  <c r="P42" i="4"/>
  <c r="P43" i="4"/>
  <c r="P44" i="4"/>
  <c r="P45" i="4"/>
  <c r="P46" i="4"/>
  <c r="P47" i="4"/>
  <c r="P48" i="4"/>
  <c r="P49" i="4"/>
  <c r="P50" i="4"/>
  <c r="P51" i="4"/>
  <c r="P52" i="4"/>
  <c r="P53" i="4"/>
  <c r="P54" i="4"/>
  <c r="P55" i="4"/>
  <c r="P56" i="4"/>
  <c r="P57" i="4"/>
  <c r="P58" i="4"/>
  <c r="P59" i="4"/>
  <c r="AK215" i="3"/>
  <c r="AI215" i="3"/>
  <c r="T215" i="3" s="1"/>
  <c r="Z215" i="3" s="1"/>
  <c r="AH215" i="3"/>
  <c r="AG215" i="3"/>
  <c r="AF215" i="3"/>
  <c r="AD215" i="3"/>
  <c r="AC215" i="3"/>
  <c r="Y215" i="3"/>
  <c r="AK214" i="3"/>
  <c r="AI214" i="3"/>
  <c r="T214" i="3" s="1"/>
  <c r="Z214" i="3" s="1"/>
  <c r="AH214" i="3"/>
  <c r="AG214" i="3"/>
  <c r="AF214" i="3"/>
  <c r="AD214" i="3"/>
  <c r="AC214" i="3"/>
  <c r="Y214" i="3"/>
  <c r="AK213" i="3"/>
  <c r="AI213" i="3"/>
  <c r="T213" i="3" s="1"/>
  <c r="Z213" i="3" s="1"/>
  <c r="AH213" i="3"/>
  <c r="AG213" i="3"/>
  <c r="AF213" i="3"/>
  <c r="AD213" i="3"/>
  <c r="AC213" i="3"/>
  <c r="Y213" i="3"/>
  <c r="AK212" i="3"/>
  <c r="AI212" i="3"/>
  <c r="T212" i="3" s="1"/>
  <c r="Z212" i="3" s="1"/>
  <c r="AH212" i="3"/>
  <c r="AG212" i="3"/>
  <c r="AF212" i="3"/>
  <c r="AD212" i="3"/>
  <c r="AE212" i="3" s="1"/>
  <c r="AC212" i="3"/>
  <c r="Y212" i="3"/>
  <c r="AK211" i="3"/>
  <c r="AI211" i="3"/>
  <c r="T211" i="3" s="1"/>
  <c r="Z211" i="3" s="1"/>
  <c r="AH211" i="3"/>
  <c r="AG211" i="3"/>
  <c r="AF211" i="3"/>
  <c r="AD211" i="3"/>
  <c r="AC211" i="3"/>
  <c r="Y211" i="3"/>
  <c r="AK210" i="3"/>
  <c r="AI210" i="3"/>
  <c r="T210" i="3" s="1"/>
  <c r="Z210" i="3" s="1"/>
  <c r="AH210" i="3"/>
  <c r="AG210" i="3"/>
  <c r="AF210" i="3"/>
  <c r="AD210" i="3"/>
  <c r="AC210" i="3"/>
  <c r="Y210" i="3"/>
  <c r="AK209" i="3"/>
  <c r="AI209" i="3"/>
  <c r="T209" i="3" s="1"/>
  <c r="Z209" i="3" s="1"/>
  <c r="AH209" i="3"/>
  <c r="AG209" i="3"/>
  <c r="AF209" i="3"/>
  <c r="AD209" i="3"/>
  <c r="AC209" i="3"/>
  <c r="Y209" i="3"/>
  <c r="AK208" i="3"/>
  <c r="AI208" i="3"/>
  <c r="T208" i="3" s="1"/>
  <c r="AH208" i="3"/>
  <c r="AG208" i="3"/>
  <c r="AF208" i="3"/>
  <c r="AD208" i="3"/>
  <c r="AC208" i="3"/>
  <c r="Y208" i="3"/>
  <c r="AK207" i="3"/>
  <c r="AI207" i="3"/>
  <c r="T207" i="3" s="1"/>
  <c r="AH207" i="3"/>
  <c r="AG207" i="3"/>
  <c r="AF207" i="3"/>
  <c r="AD207" i="3"/>
  <c r="AC207" i="3"/>
  <c r="Y207" i="3"/>
  <c r="AK206" i="3"/>
  <c r="AI206" i="3"/>
  <c r="T206" i="3" s="1"/>
  <c r="AH206" i="3"/>
  <c r="AG206" i="3"/>
  <c r="AF206" i="3"/>
  <c r="AD206" i="3"/>
  <c r="AC206" i="3"/>
  <c r="Y206" i="3"/>
  <c r="AK205" i="3"/>
  <c r="AI205" i="3"/>
  <c r="T205" i="3" s="1"/>
  <c r="AH205" i="3"/>
  <c r="AG205" i="3"/>
  <c r="AF205" i="3"/>
  <c r="AD205" i="3"/>
  <c r="AC205" i="3"/>
  <c r="Y205" i="3"/>
  <c r="AK204" i="3"/>
  <c r="AI204" i="3"/>
  <c r="T204" i="3" s="1"/>
  <c r="AH204" i="3"/>
  <c r="AG204" i="3"/>
  <c r="AF204" i="3"/>
  <c r="AD204" i="3"/>
  <c r="AC204" i="3"/>
  <c r="Y204" i="3"/>
  <c r="AK203" i="3"/>
  <c r="AI203" i="3"/>
  <c r="T203" i="3" s="1"/>
  <c r="AH203" i="3"/>
  <c r="AG203" i="3"/>
  <c r="AF203" i="3"/>
  <c r="AD203" i="3"/>
  <c r="AC203" i="3"/>
  <c r="Y203" i="3"/>
  <c r="AK202" i="3"/>
  <c r="AI202" i="3"/>
  <c r="T202" i="3" s="1"/>
  <c r="AH202" i="3"/>
  <c r="AG202" i="3"/>
  <c r="AF202" i="3"/>
  <c r="AD202" i="3"/>
  <c r="AC202" i="3"/>
  <c r="Y202" i="3"/>
  <c r="AK201" i="3"/>
  <c r="AI201" i="3"/>
  <c r="T201" i="3" s="1"/>
  <c r="AH201" i="3"/>
  <c r="AG201" i="3"/>
  <c r="AF201" i="3"/>
  <c r="AD201" i="3"/>
  <c r="AC201" i="3"/>
  <c r="Y201" i="3"/>
  <c r="AK200" i="3"/>
  <c r="AI200" i="3"/>
  <c r="T200" i="3" s="1"/>
  <c r="AH200" i="3"/>
  <c r="AG200" i="3"/>
  <c r="AF200" i="3"/>
  <c r="AD200" i="3"/>
  <c r="AE200" i="3" s="1"/>
  <c r="AC200" i="3"/>
  <c r="Y200" i="3"/>
  <c r="AK199" i="3"/>
  <c r="AI199" i="3"/>
  <c r="T199" i="3" s="1"/>
  <c r="AH199" i="3"/>
  <c r="AG199" i="3"/>
  <c r="AF199" i="3"/>
  <c r="AD199" i="3"/>
  <c r="AC199" i="3"/>
  <c r="Y199" i="3"/>
  <c r="AK198" i="3"/>
  <c r="AI198" i="3"/>
  <c r="T198" i="3" s="1"/>
  <c r="AH198" i="3"/>
  <c r="AG198" i="3"/>
  <c r="AF198" i="3"/>
  <c r="AD198" i="3"/>
  <c r="AC198" i="3"/>
  <c r="Y198" i="3"/>
  <c r="AK197" i="3"/>
  <c r="AI197" i="3"/>
  <c r="T197" i="3" s="1"/>
  <c r="AH197" i="3"/>
  <c r="AG197" i="3"/>
  <c r="AF197" i="3"/>
  <c r="AD197" i="3"/>
  <c r="AC197" i="3"/>
  <c r="Y197" i="3"/>
  <c r="AK196" i="3"/>
  <c r="AI196" i="3"/>
  <c r="AH196" i="3"/>
  <c r="AG196" i="3"/>
  <c r="AF196" i="3"/>
  <c r="AD196" i="3"/>
  <c r="AC196" i="3"/>
  <c r="Y196" i="3"/>
  <c r="T196" i="3"/>
  <c r="AK195" i="3"/>
  <c r="AI195" i="3"/>
  <c r="T195" i="3" s="1"/>
  <c r="AH195" i="3"/>
  <c r="AG195" i="3"/>
  <c r="AF195" i="3"/>
  <c r="AD195" i="3"/>
  <c r="AC195" i="3"/>
  <c r="Y195" i="3"/>
  <c r="AK194" i="3"/>
  <c r="AI194" i="3"/>
  <c r="AH194" i="3"/>
  <c r="AG194" i="3"/>
  <c r="AF194" i="3"/>
  <c r="AD194" i="3"/>
  <c r="AC194" i="3"/>
  <c r="AE194" i="3" s="1"/>
  <c r="Y194" i="3"/>
  <c r="T194" i="3"/>
  <c r="AK193" i="3"/>
  <c r="AI193" i="3"/>
  <c r="T193" i="3" s="1"/>
  <c r="AH193" i="3"/>
  <c r="AG193" i="3"/>
  <c r="AF193" i="3"/>
  <c r="AD193" i="3"/>
  <c r="AC193" i="3"/>
  <c r="Y193" i="3"/>
  <c r="AK192" i="3"/>
  <c r="AI192" i="3"/>
  <c r="T192" i="3" s="1"/>
  <c r="AH192" i="3"/>
  <c r="AG192" i="3"/>
  <c r="AF192" i="3"/>
  <c r="AD192" i="3"/>
  <c r="AE192" i="3" s="1"/>
  <c r="AC192" i="3"/>
  <c r="Y192" i="3"/>
  <c r="AK191" i="3"/>
  <c r="AI191" i="3"/>
  <c r="T191" i="3" s="1"/>
  <c r="AH191" i="3"/>
  <c r="AG191" i="3"/>
  <c r="AF191" i="3"/>
  <c r="AD191" i="3"/>
  <c r="AC191" i="3"/>
  <c r="Y191" i="3"/>
  <c r="AK190" i="3"/>
  <c r="AI190" i="3"/>
  <c r="T190" i="3" s="1"/>
  <c r="AH190" i="3"/>
  <c r="AG190" i="3"/>
  <c r="AF190" i="3"/>
  <c r="AD190" i="3"/>
  <c r="AC190" i="3"/>
  <c r="Y190" i="3"/>
  <c r="AK189" i="3"/>
  <c r="AI189" i="3"/>
  <c r="T189" i="3" s="1"/>
  <c r="AH189" i="3"/>
  <c r="AG189" i="3"/>
  <c r="AF189" i="3"/>
  <c r="AD189" i="3"/>
  <c r="AC189" i="3"/>
  <c r="Y189" i="3"/>
  <c r="AK188" i="3"/>
  <c r="AI188" i="3"/>
  <c r="T188" i="3" s="1"/>
  <c r="AH188" i="3"/>
  <c r="AG188" i="3"/>
  <c r="AF188" i="3"/>
  <c r="AD188" i="3"/>
  <c r="AC188" i="3"/>
  <c r="Y188" i="3"/>
  <c r="AK187" i="3"/>
  <c r="AI187" i="3"/>
  <c r="T187" i="3" s="1"/>
  <c r="AH187" i="3"/>
  <c r="AG187" i="3"/>
  <c r="AF187" i="3"/>
  <c r="AD187" i="3"/>
  <c r="AC187" i="3"/>
  <c r="Y187" i="3"/>
  <c r="AK186" i="3"/>
  <c r="AI186" i="3"/>
  <c r="T186" i="3" s="1"/>
  <c r="AH186" i="3"/>
  <c r="AG186" i="3"/>
  <c r="AF186" i="3"/>
  <c r="AD186" i="3"/>
  <c r="AC186" i="3"/>
  <c r="Y186" i="3"/>
  <c r="AK185" i="3"/>
  <c r="AI185" i="3"/>
  <c r="T185" i="3" s="1"/>
  <c r="AH185" i="3"/>
  <c r="AG185" i="3"/>
  <c r="AF185" i="3"/>
  <c r="AD185" i="3"/>
  <c r="AC185" i="3"/>
  <c r="Y185" i="3"/>
  <c r="AK184" i="3"/>
  <c r="AI184" i="3"/>
  <c r="T184" i="3" s="1"/>
  <c r="AH184" i="3"/>
  <c r="AG184" i="3"/>
  <c r="AF184" i="3"/>
  <c r="AD184" i="3"/>
  <c r="AC184" i="3"/>
  <c r="Y184" i="3"/>
  <c r="AK183" i="3"/>
  <c r="AI183" i="3"/>
  <c r="T183" i="3" s="1"/>
  <c r="AH183" i="3"/>
  <c r="AG183" i="3"/>
  <c r="AF183" i="3"/>
  <c r="AE183" i="3"/>
  <c r="AD183" i="3"/>
  <c r="AC183" i="3"/>
  <c r="Y183" i="3"/>
  <c r="AK182" i="3"/>
  <c r="AI182" i="3"/>
  <c r="T182" i="3" s="1"/>
  <c r="AH182" i="3"/>
  <c r="AG182" i="3"/>
  <c r="AF182" i="3"/>
  <c r="AD182" i="3"/>
  <c r="AC182" i="3"/>
  <c r="Y182" i="3"/>
  <c r="AK181" i="3"/>
  <c r="AI181" i="3"/>
  <c r="T181" i="3" s="1"/>
  <c r="AH181" i="3"/>
  <c r="AG181" i="3"/>
  <c r="AF181" i="3"/>
  <c r="AD181" i="3"/>
  <c r="AC181" i="3"/>
  <c r="Y181" i="3"/>
  <c r="AK180" i="3"/>
  <c r="AI180" i="3"/>
  <c r="T180" i="3" s="1"/>
  <c r="AH180" i="3"/>
  <c r="AG180" i="3"/>
  <c r="AF180" i="3"/>
  <c r="AD180" i="3"/>
  <c r="AC180" i="3"/>
  <c r="Y180" i="3"/>
  <c r="AK179" i="3"/>
  <c r="AI179" i="3"/>
  <c r="T179" i="3" s="1"/>
  <c r="AH179" i="3"/>
  <c r="AG179" i="3"/>
  <c r="AF179" i="3"/>
  <c r="AD179" i="3"/>
  <c r="AC179" i="3"/>
  <c r="Y179" i="3"/>
  <c r="AK178" i="3"/>
  <c r="AI178" i="3"/>
  <c r="T178" i="3" s="1"/>
  <c r="AH178" i="3"/>
  <c r="AG178" i="3"/>
  <c r="AF178" i="3"/>
  <c r="AD178" i="3"/>
  <c r="AC178" i="3"/>
  <c r="Y178" i="3"/>
  <c r="AK177" i="3"/>
  <c r="AI177" i="3"/>
  <c r="T177" i="3" s="1"/>
  <c r="AH177" i="3"/>
  <c r="AG177" i="3"/>
  <c r="AF177" i="3"/>
  <c r="AD177" i="3"/>
  <c r="AC177" i="3"/>
  <c r="Y177" i="3"/>
  <c r="AK176" i="3"/>
  <c r="AI176" i="3"/>
  <c r="T176" i="3" s="1"/>
  <c r="AH176" i="3"/>
  <c r="AG176" i="3"/>
  <c r="AF176" i="3"/>
  <c r="AD176" i="3"/>
  <c r="AE176" i="3" s="1"/>
  <c r="AC176" i="3"/>
  <c r="Y176" i="3"/>
  <c r="AK175" i="3"/>
  <c r="AI175" i="3"/>
  <c r="T175" i="3" s="1"/>
  <c r="AH175" i="3"/>
  <c r="AG175" i="3"/>
  <c r="AF175" i="3"/>
  <c r="AD175" i="3"/>
  <c r="AC175" i="3"/>
  <c r="Y175" i="3"/>
  <c r="AK174" i="3"/>
  <c r="AI174" i="3"/>
  <c r="T174" i="3" s="1"/>
  <c r="AH174" i="3"/>
  <c r="AG174" i="3"/>
  <c r="AF174" i="3"/>
  <c r="AD174" i="3"/>
  <c r="AC174" i="3"/>
  <c r="Y174" i="3"/>
  <c r="AK173" i="3"/>
  <c r="AI173" i="3"/>
  <c r="T173" i="3" s="1"/>
  <c r="AH173" i="3"/>
  <c r="AG173" i="3"/>
  <c r="AF173" i="3"/>
  <c r="AD173" i="3"/>
  <c r="AC173" i="3"/>
  <c r="Y173" i="3"/>
  <c r="AK172" i="3"/>
  <c r="AI172" i="3"/>
  <c r="AH172" i="3"/>
  <c r="AG172" i="3"/>
  <c r="AF172" i="3"/>
  <c r="AD172" i="3"/>
  <c r="AC172" i="3"/>
  <c r="Y172" i="3"/>
  <c r="T172" i="3"/>
  <c r="AK171" i="3"/>
  <c r="AI171" i="3"/>
  <c r="T171" i="3" s="1"/>
  <c r="AH171" i="3"/>
  <c r="AG171" i="3"/>
  <c r="AF171" i="3"/>
  <c r="AD171" i="3"/>
  <c r="AC171" i="3"/>
  <c r="Y171" i="3"/>
  <c r="AK170" i="3"/>
  <c r="AI170" i="3"/>
  <c r="T170" i="3" s="1"/>
  <c r="AH170" i="3"/>
  <c r="AG170" i="3"/>
  <c r="AF170" i="3"/>
  <c r="AD170" i="3"/>
  <c r="AC170" i="3"/>
  <c r="Y170" i="3"/>
  <c r="AK169" i="3"/>
  <c r="AI169" i="3"/>
  <c r="T169" i="3" s="1"/>
  <c r="AH169" i="3"/>
  <c r="AG169" i="3"/>
  <c r="AF169" i="3"/>
  <c r="AD169" i="3"/>
  <c r="AC169" i="3"/>
  <c r="Y169" i="3"/>
  <c r="AK168" i="3"/>
  <c r="AI168" i="3"/>
  <c r="T168" i="3" s="1"/>
  <c r="AH168" i="3"/>
  <c r="AG168" i="3"/>
  <c r="AF168" i="3"/>
  <c r="AD168" i="3"/>
  <c r="AC168" i="3"/>
  <c r="Y168" i="3"/>
  <c r="AK167" i="3"/>
  <c r="AI167" i="3"/>
  <c r="T167" i="3" s="1"/>
  <c r="AH167" i="3"/>
  <c r="AG167" i="3"/>
  <c r="AF167" i="3"/>
  <c r="AD167" i="3"/>
  <c r="AC167" i="3"/>
  <c r="Y167" i="3"/>
  <c r="AK166" i="3"/>
  <c r="AI166" i="3"/>
  <c r="T166" i="3" s="1"/>
  <c r="AH166" i="3"/>
  <c r="AG166" i="3"/>
  <c r="AF166" i="3"/>
  <c r="AD166" i="3"/>
  <c r="AC166" i="3"/>
  <c r="Y166" i="3"/>
  <c r="AK165" i="3"/>
  <c r="AI165" i="3"/>
  <c r="T165" i="3" s="1"/>
  <c r="AH165" i="3"/>
  <c r="AG165" i="3"/>
  <c r="AF165" i="3"/>
  <c r="AD165" i="3"/>
  <c r="AC165" i="3"/>
  <c r="Y165" i="3"/>
  <c r="AK164" i="3"/>
  <c r="AI164" i="3"/>
  <c r="T164" i="3" s="1"/>
  <c r="AH164" i="3"/>
  <c r="AG164" i="3"/>
  <c r="AF164" i="3"/>
  <c r="AD164" i="3"/>
  <c r="AC164" i="3"/>
  <c r="Y164" i="3"/>
  <c r="AK163" i="3"/>
  <c r="AI163" i="3"/>
  <c r="T163" i="3" s="1"/>
  <c r="AH163" i="3"/>
  <c r="AG163" i="3"/>
  <c r="AF163" i="3"/>
  <c r="AD163" i="3"/>
  <c r="AC163" i="3"/>
  <c r="Y163" i="3"/>
  <c r="AK162" i="3"/>
  <c r="AI162" i="3"/>
  <c r="T162" i="3" s="1"/>
  <c r="AH162" i="3"/>
  <c r="AG162" i="3"/>
  <c r="AF162" i="3"/>
  <c r="AD162" i="3"/>
  <c r="AC162" i="3"/>
  <c r="Y162" i="3"/>
  <c r="AK161" i="3"/>
  <c r="AI161" i="3"/>
  <c r="T161" i="3" s="1"/>
  <c r="AH161" i="3"/>
  <c r="AG161" i="3"/>
  <c r="AF161" i="3"/>
  <c r="AD161" i="3"/>
  <c r="AC161" i="3"/>
  <c r="Y161" i="3"/>
  <c r="AK160" i="3"/>
  <c r="AI160" i="3"/>
  <c r="T160" i="3" s="1"/>
  <c r="AH160" i="3"/>
  <c r="AG160" i="3"/>
  <c r="AF160" i="3"/>
  <c r="AD160" i="3"/>
  <c r="AC160" i="3"/>
  <c r="Y160" i="3"/>
  <c r="AK159" i="3"/>
  <c r="AI159" i="3"/>
  <c r="T159" i="3" s="1"/>
  <c r="AH159" i="3"/>
  <c r="AG159" i="3"/>
  <c r="AF159" i="3"/>
  <c r="AD159" i="3"/>
  <c r="AC159" i="3"/>
  <c r="Y159" i="3"/>
  <c r="AK158" i="3"/>
  <c r="AI158" i="3"/>
  <c r="T158" i="3" s="1"/>
  <c r="AH158" i="3"/>
  <c r="AG158" i="3"/>
  <c r="AF158" i="3"/>
  <c r="AD158" i="3"/>
  <c r="AC158" i="3"/>
  <c r="Y158" i="3"/>
  <c r="AK157" i="3"/>
  <c r="AI157" i="3"/>
  <c r="T157" i="3" s="1"/>
  <c r="AH157" i="3"/>
  <c r="AG157" i="3"/>
  <c r="AF157" i="3"/>
  <c r="AD157" i="3"/>
  <c r="AC157" i="3"/>
  <c r="Y157" i="3"/>
  <c r="AK156" i="3"/>
  <c r="AI156" i="3"/>
  <c r="T156" i="3" s="1"/>
  <c r="AH156" i="3"/>
  <c r="AG156" i="3"/>
  <c r="AF156" i="3"/>
  <c r="AD156" i="3"/>
  <c r="AC156" i="3"/>
  <c r="Y156" i="3"/>
  <c r="AK155" i="3"/>
  <c r="AI155" i="3"/>
  <c r="T155" i="3" s="1"/>
  <c r="AH155" i="3"/>
  <c r="AG155" i="3"/>
  <c r="AF155" i="3"/>
  <c r="AD155" i="3"/>
  <c r="AC155" i="3"/>
  <c r="Y155" i="3"/>
  <c r="AK154" i="3"/>
  <c r="AI154" i="3"/>
  <c r="T154" i="3" s="1"/>
  <c r="AH154" i="3"/>
  <c r="AG154" i="3"/>
  <c r="AF154" i="3"/>
  <c r="AD154" i="3"/>
  <c r="AC154" i="3"/>
  <c r="Y154" i="3"/>
  <c r="AK153" i="3"/>
  <c r="AI153" i="3"/>
  <c r="T153" i="3" s="1"/>
  <c r="AH153" i="3"/>
  <c r="AG153" i="3"/>
  <c r="AF153" i="3"/>
  <c r="AD153" i="3"/>
  <c r="AC153" i="3"/>
  <c r="Y153" i="3"/>
  <c r="AK152" i="3"/>
  <c r="AI152" i="3"/>
  <c r="T152" i="3" s="1"/>
  <c r="AH152" i="3"/>
  <c r="AG152" i="3"/>
  <c r="AF152" i="3"/>
  <c r="AD152" i="3"/>
  <c r="AC152" i="3"/>
  <c r="Y152" i="3"/>
  <c r="AK151" i="3"/>
  <c r="AI151" i="3"/>
  <c r="T151" i="3" s="1"/>
  <c r="AH151" i="3"/>
  <c r="AG151" i="3"/>
  <c r="AF151" i="3"/>
  <c r="AD151" i="3"/>
  <c r="AC151" i="3"/>
  <c r="Y151" i="3"/>
  <c r="AK150" i="3"/>
  <c r="AI150" i="3"/>
  <c r="T150" i="3" s="1"/>
  <c r="AH150" i="3"/>
  <c r="AG150" i="3"/>
  <c r="AF150" i="3"/>
  <c r="AD150" i="3"/>
  <c r="AC150" i="3"/>
  <c r="Y150" i="3"/>
  <c r="AK149" i="3"/>
  <c r="AI149" i="3"/>
  <c r="T149" i="3" s="1"/>
  <c r="AH149" i="3"/>
  <c r="AG149" i="3"/>
  <c r="AF149" i="3"/>
  <c r="AD149" i="3"/>
  <c r="AC149" i="3"/>
  <c r="Y149" i="3"/>
  <c r="AK148" i="3"/>
  <c r="AI148" i="3"/>
  <c r="T148" i="3" s="1"/>
  <c r="AH148" i="3"/>
  <c r="AG148" i="3"/>
  <c r="AF148" i="3"/>
  <c r="AD148" i="3"/>
  <c r="AC148" i="3"/>
  <c r="Y148" i="3"/>
  <c r="AK147" i="3"/>
  <c r="AI147" i="3"/>
  <c r="T147" i="3" s="1"/>
  <c r="AH147" i="3"/>
  <c r="AG147" i="3"/>
  <c r="AF147" i="3"/>
  <c r="AD147" i="3"/>
  <c r="AC147" i="3"/>
  <c r="Y147" i="3"/>
  <c r="AK146" i="3"/>
  <c r="AI146" i="3"/>
  <c r="T146" i="3" s="1"/>
  <c r="AH146" i="3"/>
  <c r="AG146" i="3"/>
  <c r="AF146" i="3"/>
  <c r="AD146" i="3"/>
  <c r="AC146" i="3"/>
  <c r="Y146" i="3"/>
  <c r="AK145" i="3"/>
  <c r="AI145" i="3"/>
  <c r="T145" i="3" s="1"/>
  <c r="AH145" i="3"/>
  <c r="AG145" i="3"/>
  <c r="AF145" i="3"/>
  <c r="AD145" i="3"/>
  <c r="AC145" i="3"/>
  <c r="Y145" i="3"/>
  <c r="AK144" i="3"/>
  <c r="AI144" i="3"/>
  <c r="T144" i="3" s="1"/>
  <c r="AH144" i="3"/>
  <c r="AG144" i="3"/>
  <c r="AF144" i="3"/>
  <c r="AD144" i="3"/>
  <c r="AE144" i="3" s="1"/>
  <c r="AC144" i="3"/>
  <c r="Y144" i="3"/>
  <c r="AK143" i="3"/>
  <c r="AI143" i="3"/>
  <c r="T143" i="3" s="1"/>
  <c r="AH143" i="3"/>
  <c r="AG143" i="3"/>
  <c r="AF143" i="3"/>
  <c r="AD143" i="3"/>
  <c r="AC143" i="3"/>
  <c r="Y143" i="3"/>
  <c r="AK142" i="3"/>
  <c r="AI142" i="3"/>
  <c r="T142" i="3" s="1"/>
  <c r="AH142" i="3"/>
  <c r="AG142" i="3"/>
  <c r="AF142" i="3"/>
  <c r="AD142" i="3"/>
  <c r="AC142" i="3"/>
  <c r="Y142" i="3"/>
  <c r="AK141" i="3"/>
  <c r="AI141" i="3"/>
  <c r="T141" i="3" s="1"/>
  <c r="AH141" i="3"/>
  <c r="AG141" i="3"/>
  <c r="AF141" i="3"/>
  <c r="AD141" i="3"/>
  <c r="AC141" i="3"/>
  <c r="Y141" i="3"/>
  <c r="AK140" i="3"/>
  <c r="AI140" i="3"/>
  <c r="T140" i="3" s="1"/>
  <c r="AH140" i="3"/>
  <c r="AG140" i="3"/>
  <c r="AF140" i="3"/>
  <c r="AD140" i="3"/>
  <c r="AC140" i="3"/>
  <c r="Y140" i="3"/>
  <c r="AK139" i="3"/>
  <c r="AI139" i="3"/>
  <c r="T139" i="3" s="1"/>
  <c r="AH139" i="3"/>
  <c r="AG139" i="3"/>
  <c r="AF139" i="3"/>
  <c r="AD139" i="3"/>
  <c r="AC139" i="3"/>
  <c r="Y139" i="3"/>
  <c r="AK138" i="3"/>
  <c r="AI138" i="3"/>
  <c r="T138" i="3" s="1"/>
  <c r="AH138" i="3"/>
  <c r="AG138" i="3"/>
  <c r="AF138" i="3"/>
  <c r="AD138" i="3"/>
  <c r="AC138" i="3"/>
  <c r="Y138" i="3"/>
  <c r="AK137" i="3"/>
  <c r="AI137" i="3"/>
  <c r="T137" i="3" s="1"/>
  <c r="AH137" i="3"/>
  <c r="AG137" i="3"/>
  <c r="AF137" i="3"/>
  <c r="AD137" i="3"/>
  <c r="AC137" i="3"/>
  <c r="Y137" i="3"/>
  <c r="AK136" i="3"/>
  <c r="AI136" i="3"/>
  <c r="T136" i="3" s="1"/>
  <c r="AH136" i="3"/>
  <c r="AG136" i="3"/>
  <c r="AF136" i="3"/>
  <c r="AD136" i="3"/>
  <c r="AC136" i="3"/>
  <c r="Y136" i="3"/>
  <c r="AK135" i="3"/>
  <c r="AI135" i="3"/>
  <c r="T135" i="3" s="1"/>
  <c r="AH135" i="3"/>
  <c r="AG135" i="3"/>
  <c r="AF135" i="3"/>
  <c r="AD135" i="3"/>
  <c r="AE135" i="3" s="1"/>
  <c r="AC135" i="3"/>
  <c r="Y135" i="3"/>
  <c r="AK134" i="3"/>
  <c r="AI134" i="3"/>
  <c r="T134" i="3" s="1"/>
  <c r="AH134" i="3"/>
  <c r="AG134" i="3"/>
  <c r="AF134" i="3"/>
  <c r="AD134" i="3"/>
  <c r="AC134" i="3"/>
  <c r="Y134" i="3"/>
  <c r="AK133" i="3"/>
  <c r="AI133" i="3"/>
  <c r="T133" i="3" s="1"/>
  <c r="AH133" i="3"/>
  <c r="AG133" i="3"/>
  <c r="AF133" i="3"/>
  <c r="AD133" i="3"/>
  <c r="AC133" i="3"/>
  <c r="Y133" i="3"/>
  <c r="AK132" i="3"/>
  <c r="AI132" i="3"/>
  <c r="T132" i="3" s="1"/>
  <c r="AH132" i="3"/>
  <c r="AG132" i="3"/>
  <c r="AF132" i="3"/>
  <c r="AD132" i="3"/>
  <c r="AC132" i="3"/>
  <c r="Y132" i="3"/>
  <c r="AK131" i="3"/>
  <c r="AI131" i="3"/>
  <c r="T131" i="3" s="1"/>
  <c r="AH131" i="3"/>
  <c r="AG131" i="3"/>
  <c r="AF131" i="3"/>
  <c r="AD131" i="3"/>
  <c r="AC131" i="3"/>
  <c r="Y131" i="3"/>
  <c r="AK130" i="3"/>
  <c r="AI130" i="3"/>
  <c r="T130" i="3" s="1"/>
  <c r="AH130" i="3"/>
  <c r="AG130" i="3"/>
  <c r="AF130" i="3"/>
  <c r="AD130" i="3"/>
  <c r="AC130" i="3"/>
  <c r="AE130" i="3" s="1"/>
  <c r="Y130" i="3"/>
  <c r="AK129" i="3"/>
  <c r="AI129" i="3"/>
  <c r="T129" i="3" s="1"/>
  <c r="AH129" i="3"/>
  <c r="AG129" i="3"/>
  <c r="AF129" i="3"/>
  <c r="AD129" i="3"/>
  <c r="AC129" i="3"/>
  <c r="Y129" i="3"/>
  <c r="AK128" i="3"/>
  <c r="AI128" i="3"/>
  <c r="T128" i="3" s="1"/>
  <c r="AH128" i="3"/>
  <c r="AG128" i="3"/>
  <c r="AF128" i="3"/>
  <c r="AD128" i="3"/>
  <c r="AC128" i="3"/>
  <c r="Y128" i="3"/>
  <c r="AK127" i="3"/>
  <c r="AI127" i="3"/>
  <c r="T127" i="3" s="1"/>
  <c r="AH127" i="3"/>
  <c r="AG127" i="3"/>
  <c r="AF127" i="3"/>
  <c r="AD127" i="3"/>
  <c r="AC127" i="3"/>
  <c r="Y127" i="3"/>
  <c r="AK126" i="3"/>
  <c r="AI126" i="3"/>
  <c r="T126" i="3" s="1"/>
  <c r="AH126" i="3"/>
  <c r="AG126" i="3"/>
  <c r="AF126" i="3"/>
  <c r="AD126" i="3"/>
  <c r="AC126" i="3"/>
  <c r="Y126" i="3"/>
  <c r="AK125" i="3"/>
  <c r="AI125" i="3"/>
  <c r="T125" i="3" s="1"/>
  <c r="AH125" i="3"/>
  <c r="AG125" i="3"/>
  <c r="AF125" i="3"/>
  <c r="AD125" i="3"/>
  <c r="AC125" i="3"/>
  <c r="Y125" i="3"/>
  <c r="AK124" i="3"/>
  <c r="AI124" i="3"/>
  <c r="AH124" i="3"/>
  <c r="AG124" i="3"/>
  <c r="AF124" i="3"/>
  <c r="AD124" i="3"/>
  <c r="AC124" i="3"/>
  <c r="Y124" i="3"/>
  <c r="T124" i="3"/>
  <c r="AK123" i="3"/>
  <c r="AI123" i="3"/>
  <c r="T123" i="3" s="1"/>
  <c r="AH123" i="3"/>
  <c r="AG123" i="3"/>
  <c r="AF123" i="3"/>
  <c r="AD123" i="3"/>
  <c r="AC123" i="3"/>
  <c r="Y123" i="3"/>
  <c r="AK122" i="3"/>
  <c r="AI122" i="3"/>
  <c r="T122" i="3" s="1"/>
  <c r="AH122" i="3"/>
  <c r="AG122" i="3"/>
  <c r="AF122" i="3"/>
  <c r="AD122" i="3"/>
  <c r="AC122" i="3"/>
  <c r="Y122" i="3"/>
  <c r="AK121" i="3"/>
  <c r="AI121" i="3"/>
  <c r="T121" i="3" s="1"/>
  <c r="AH121" i="3"/>
  <c r="AG121" i="3"/>
  <c r="AF121" i="3"/>
  <c r="AD121" i="3"/>
  <c r="AC121" i="3"/>
  <c r="Y121" i="3"/>
  <c r="AK120" i="3"/>
  <c r="AI120" i="3"/>
  <c r="T120" i="3" s="1"/>
  <c r="AH120" i="3"/>
  <c r="AG120" i="3"/>
  <c r="AF120" i="3"/>
  <c r="AD120" i="3"/>
  <c r="AC120" i="3"/>
  <c r="Y120" i="3"/>
  <c r="AK119" i="3"/>
  <c r="AI119" i="3"/>
  <c r="T119" i="3" s="1"/>
  <c r="AH119" i="3"/>
  <c r="AG119" i="3"/>
  <c r="AF119" i="3"/>
  <c r="AD119" i="3"/>
  <c r="AE119" i="3" s="1"/>
  <c r="AC119" i="3"/>
  <c r="Y119" i="3"/>
  <c r="AK118" i="3"/>
  <c r="AI118" i="3"/>
  <c r="T118" i="3" s="1"/>
  <c r="AH118" i="3"/>
  <c r="AG118" i="3"/>
  <c r="AF118" i="3"/>
  <c r="AD118" i="3"/>
  <c r="AC118" i="3"/>
  <c r="Y118" i="3"/>
  <c r="AK117" i="3"/>
  <c r="AI117" i="3"/>
  <c r="T117" i="3" s="1"/>
  <c r="AH117" i="3"/>
  <c r="AG117" i="3"/>
  <c r="AF117" i="3"/>
  <c r="AD117" i="3"/>
  <c r="AC117" i="3"/>
  <c r="Y117" i="3"/>
  <c r="AK116" i="3"/>
  <c r="AI116" i="3"/>
  <c r="T116" i="3" s="1"/>
  <c r="AH116" i="3"/>
  <c r="AG116" i="3"/>
  <c r="AF116" i="3"/>
  <c r="AD116" i="3"/>
  <c r="AC116" i="3"/>
  <c r="Y116" i="3"/>
  <c r="AK115" i="3"/>
  <c r="AI115" i="3"/>
  <c r="T115" i="3" s="1"/>
  <c r="AH115" i="3"/>
  <c r="AG115" i="3"/>
  <c r="AF115" i="3"/>
  <c r="AD115" i="3"/>
  <c r="AC115" i="3"/>
  <c r="Y115" i="3"/>
  <c r="AK114" i="3"/>
  <c r="AI114" i="3"/>
  <c r="T114" i="3" s="1"/>
  <c r="AH114" i="3"/>
  <c r="AG114" i="3"/>
  <c r="AF114" i="3"/>
  <c r="AD114" i="3"/>
  <c r="AC114" i="3"/>
  <c r="Y114" i="3"/>
  <c r="AK113" i="3"/>
  <c r="AI113" i="3"/>
  <c r="T113" i="3" s="1"/>
  <c r="AH113" i="3"/>
  <c r="AG113" i="3"/>
  <c r="AF113" i="3"/>
  <c r="AD113" i="3"/>
  <c r="AE113" i="3" s="1"/>
  <c r="AC113" i="3"/>
  <c r="Y113" i="3"/>
  <c r="AK112" i="3"/>
  <c r="AI112" i="3"/>
  <c r="T112" i="3" s="1"/>
  <c r="AH112" i="3"/>
  <c r="AG112" i="3"/>
  <c r="AF112" i="3"/>
  <c r="AD112" i="3"/>
  <c r="AC112" i="3"/>
  <c r="Y112" i="3"/>
  <c r="AK111" i="3"/>
  <c r="AI111" i="3"/>
  <c r="T111" i="3" s="1"/>
  <c r="AH111" i="3"/>
  <c r="AG111" i="3"/>
  <c r="AF111" i="3"/>
  <c r="AD111" i="3"/>
  <c r="AC111" i="3"/>
  <c r="Y111" i="3"/>
  <c r="AK110" i="3"/>
  <c r="AI110" i="3"/>
  <c r="T110" i="3" s="1"/>
  <c r="AH110" i="3"/>
  <c r="AG110" i="3"/>
  <c r="AF110" i="3"/>
  <c r="AD110" i="3"/>
  <c r="AC110" i="3"/>
  <c r="Y110" i="3"/>
  <c r="AK109" i="3"/>
  <c r="AI109" i="3"/>
  <c r="AH109" i="3"/>
  <c r="AG109" i="3"/>
  <c r="AF109" i="3"/>
  <c r="AD109" i="3"/>
  <c r="AC109" i="3"/>
  <c r="Y109" i="3"/>
  <c r="T109" i="3"/>
  <c r="AK108" i="3"/>
  <c r="AI108" i="3"/>
  <c r="T108" i="3" s="1"/>
  <c r="AH108" i="3"/>
  <c r="AG108" i="3"/>
  <c r="AF108" i="3"/>
  <c r="AD108" i="3"/>
  <c r="AC108" i="3"/>
  <c r="Y108" i="3"/>
  <c r="AK107" i="3"/>
  <c r="AI107" i="3"/>
  <c r="T107" i="3" s="1"/>
  <c r="AH107" i="3"/>
  <c r="AG107" i="3"/>
  <c r="AF107" i="3"/>
  <c r="AD107" i="3"/>
  <c r="AC107" i="3"/>
  <c r="Y107" i="3"/>
  <c r="AK106" i="3"/>
  <c r="AI106" i="3"/>
  <c r="T106" i="3" s="1"/>
  <c r="AH106" i="3"/>
  <c r="AG106" i="3"/>
  <c r="AF106" i="3"/>
  <c r="AD106" i="3"/>
  <c r="AC106" i="3"/>
  <c r="Y106" i="3"/>
  <c r="AK105" i="3"/>
  <c r="AI105" i="3"/>
  <c r="T105" i="3" s="1"/>
  <c r="AH105" i="3"/>
  <c r="AG105" i="3"/>
  <c r="AF105" i="3"/>
  <c r="AD105" i="3"/>
  <c r="AC105" i="3"/>
  <c r="Y105" i="3"/>
  <c r="AK104" i="3"/>
  <c r="AI104" i="3"/>
  <c r="T104" i="3" s="1"/>
  <c r="AH104" i="3"/>
  <c r="AG104" i="3"/>
  <c r="AF104" i="3"/>
  <c r="AD104" i="3"/>
  <c r="AC104" i="3"/>
  <c r="Y104" i="3"/>
  <c r="AK103" i="3"/>
  <c r="AI103" i="3"/>
  <c r="T103" i="3" s="1"/>
  <c r="AH103" i="3"/>
  <c r="AG103" i="3"/>
  <c r="AF103" i="3"/>
  <c r="AD103" i="3"/>
  <c r="AC103" i="3"/>
  <c r="Y103" i="3"/>
  <c r="AK102" i="3"/>
  <c r="AI102" i="3"/>
  <c r="T102" i="3" s="1"/>
  <c r="AH102" i="3"/>
  <c r="AG102" i="3"/>
  <c r="AF102" i="3"/>
  <c r="AD102" i="3"/>
  <c r="AC102" i="3"/>
  <c r="Y102" i="3"/>
  <c r="AK101" i="3"/>
  <c r="AI101" i="3"/>
  <c r="T101" i="3" s="1"/>
  <c r="AH101" i="3"/>
  <c r="AG101" i="3"/>
  <c r="AF101" i="3"/>
  <c r="AD101" i="3"/>
  <c r="AC101" i="3"/>
  <c r="Y101" i="3"/>
  <c r="AK100" i="3"/>
  <c r="AI100" i="3"/>
  <c r="T100" i="3" s="1"/>
  <c r="AH100" i="3"/>
  <c r="AG100" i="3"/>
  <c r="AF100" i="3"/>
  <c r="AD100" i="3"/>
  <c r="AC100" i="3"/>
  <c r="Y100" i="3"/>
  <c r="AK99" i="3"/>
  <c r="AI99" i="3"/>
  <c r="AH99" i="3"/>
  <c r="AG99" i="3"/>
  <c r="AF99" i="3"/>
  <c r="AD99" i="3"/>
  <c r="AC99" i="3"/>
  <c r="Y99" i="3"/>
  <c r="T99" i="3"/>
  <c r="AK98" i="3"/>
  <c r="AI98" i="3"/>
  <c r="T98" i="3" s="1"/>
  <c r="AH98" i="3"/>
  <c r="AG98" i="3"/>
  <c r="AF98" i="3"/>
  <c r="AD98" i="3"/>
  <c r="AC98" i="3"/>
  <c r="Y98" i="3"/>
  <c r="AK97" i="3"/>
  <c r="AI97" i="3"/>
  <c r="T97" i="3" s="1"/>
  <c r="AH97" i="3"/>
  <c r="AG97" i="3"/>
  <c r="AF97" i="3"/>
  <c r="AD97" i="3"/>
  <c r="AC97" i="3"/>
  <c r="Y97" i="3"/>
  <c r="AK96" i="3"/>
  <c r="AI96" i="3"/>
  <c r="T96" i="3" s="1"/>
  <c r="AH96" i="3"/>
  <c r="AG96" i="3"/>
  <c r="AF96" i="3"/>
  <c r="AD96" i="3"/>
  <c r="AC96" i="3"/>
  <c r="Y96" i="3"/>
  <c r="AK95" i="3"/>
  <c r="AI95" i="3"/>
  <c r="T95" i="3" s="1"/>
  <c r="AH95" i="3"/>
  <c r="AG95" i="3"/>
  <c r="AF95" i="3"/>
  <c r="AD95" i="3"/>
  <c r="AC95" i="3"/>
  <c r="Y95" i="3"/>
  <c r="AK94" i="3"/>
  <c r="AI94" i="3"/>
  <c r="T94" i="3" s="1"/>
  <c r="AH94" i="3"/>
  <c r="AG94" i="3"/>
  <c r="AF94" i="3"/>
  <c r="AD94" i="3"/>
  <c r="AC94" i="3"/>
  <c r="Y94" i="3"/>
  <c r="AK93" i="3"/>
  <c r="AI93" i="3"/>
  <c r="T93" i="3" s="1"/>
  <c r="AH93" i="3"/>
  <c r="AG93" i="3"/>
  <c r="AF93" i="3"/>
  <c r="AD93" i="3"/>
  <c r="AC93" i="3"/>
  <c r="Y93" i="3"/>
  <c r="AK92" i="3"/>
  <c r="AI92" i="3"/>
  <c r="T92" i="3" s="1"/>
  <c r="AH92" i="3"/>
  <c r="AG92" i="3"/>
  <c r="AF92" i="3"/>
  <c r="AD92" i="3"/>
  <c r="AC92" i="3"/>
  <c r="Y92" i="3"/>
  <c r="AK91" i="3"/>
  <c r="AI91" i="3"/>
  <c r="T91" i="3" s="1"/>
  <c r="AH91" i="3"/>
  <c r="AG91" i="3"/>
  <c r="AF91" i="3"/>
  <c r="AD91" i="3"/>
  <c r="AC91" i="3"/>
  <c r="Y91" i="3"/>
  <c r="AK90" i="3"/>
  <c r="AI90" i="3"/>
  <c r="AH90" i="3"/>
  <c r="AG90" i="3"/>
  <c r="AF90" i="3"/>
  <c r="AD90" i="3"/>
  <c r="AC90" i="3"/>
  <c r="Y90" i="3"/>
  <c r="T90" i="3"/>
  <c r="AK89" i="3"/>
  <c r="AI89" i="3"/>
  <c r="T89" i="3" s="1"/>
  <c r="AH89" i="3"/>
  <c r="AG89" i="3"/>
  <c r="AF89" i="3"/>
  <c r="AD89" i="3"/>
  <c r="AC89" i="3"/>
  <c r="Y89" i="3"/>
  <c r="AK88" i="3"/>
  <c r="AI88" i="3"/>
  <c r="T88" i="3" s="1"/>
  <c r="AH88" i="3"/>
  <c r="AG88" i="3"/>
  <c r="AF88" i="3"/>
  <c r="AD88" i="3"/>
  <c r="AC88" i="3"/>
  <c r="Y88" i="3"/>
  <c r="AK87" i="3"/>
  <c r="AI87" i="3"/>
  <c r="T87" i="3" s="1"/>
  <c r="AH87" i="3"/>
  <c r="AG87" i="3"/>
  <c r="AF87" i="3"/>
  <c r="AD87" i="3"/>
  <c r="AC87" i="3"/>
  <c r="Y87" i="3"/>
  <c r="AK86" i="3"/>
  <c r="AI86" i="3"/>
  <c r="T86" i="3" s="1"/>
  <c r="AH86" i="3"/>
  <c r="AG86" i="3"/>
  <c r="AF86" i="3"/>
  <c r="AD86" i="3"/>
  <c r="AC86" i="3"/>
  <c r="Y86" i="3"/>
  <c r="AK85" i="3"/>
  <c r="AI85" i="3"/>
  <c r="T85" i="3" s="1"/>
  <c r="AH85" i="3"/>
  <c r="AG85" i="3"/>
  <c r="AF85" i="3"/>
  <c r="AD85" i="3"/>
  <c r="AC85" i="3"/>
  <c r="Y85" i="3"/>
  <c r="AK84" i="3"/>
  <c r="AI84" i="3"/>
  <c r="T84" i="3" s="1"/>
  <c r="AH84" i="3"/>
  <c r="AG84" i="3"/>
  <c r="AF84" i="3"/>
  <c r="AD84" i="3"/>
  <c r="AC84" i="3"/>
  <c r="Y84" i="3"/>
  <c r="AK83" i="3"/>
  <c r="AI83" i="3"/>
  <c r="T83" i="3" s="1"/>
  <c r="AH83" i="3"/>
  <c r="AG83" i="3"/>
  <c r="AF83" i="3"/>
  <c r="AD83" i="3"/>
  <c r="AC83" i="3"/>
  <c r="Y83" i="3"/>
  <c r="AK82" i="3"/>
  <c r="AI82" i="3"/>
  <c r="T82" i="3" s="1"/>
  <c r="AH82" i="3"/>
  <c r="AG82" i="3"/>
  <c r="AF82" i="3"/>
  <c r="AD82" i="3"/>
  <c r="AE82" i="3" s="1"/>
  <c r="AC82" i="3"/>
  <c r="Y82" i="3"/>
  <c r="AK81" i="3"/>
  <c r="AI81" i="3"/>
  <c r="T81" i="3" s="1"/>
  <c r="AH81" i="3"/>
  <c r="AG81" i="3"/>
  <c r="AF81" i="3"/>
  <c r="AD81" i="3"/>
  <c r="AC81" i="3"/>
  <c r="Y81" i="3"/>
  <c r="AK80" i="3"/>
  <c r="AI80" i="3"/>
  <c r="T80" i="3" s="1"/>
  <c r="AH80" i="3"/>
  <c r="AG80" i="3"/>
  <c r="AF80" i="3"/>
  <c r="AD80" i="3"/>
  <c r="AC80" i="3"/>
  <c r="Y80" i="3"/>
  <c r="AK79" i="3"/>
  <c r="AI79" i="3"/>
  <c r="T79" i="3" s="1"/>
  <c r="AH79" i="3"/>
  <c r="AG79" i="3"/>
  <c r="AF79" i="3"/>
  <c r="AD79" i="3"/>
  <c r="AE79" i="3" s="1"/>
  <c r="AC79" i="3"/>
  <c r="Y79" i="3"/>
  <c r="AK78" i="3"/>
  <c r="AI78" i="3"/>
  <c r="T78" i="3" s="1"/>
  <c r="AH78" i="3"/>
  <c r="AG78" i="3"/>
  <c r="AF78" i="3"/>
  <c r="AD78" i="3"/>
  <c r="AC78" i="3"/>
  <c r="Y78" i="3"/>
  <c r="AK77" i="3"/>
  <c r="AI77" i="3"/>
  <c r="T77" i="3" s="1"/>
  <c r="AH77" i="3"/>
  <c r="AG77" i="3"/>
  <c r="AF77" i="3"/>
  <c r="AD77" i="3"/>
  <c r="AC77" i="3"/>
  <c r="Y77" i="3"/>
  <c r="AK76" i="3"/>
  <c r="AI76" i="3"/>
  <c r="T76" i="3" s="1"/>
  <c r="AH76" i="3"/>
  <c r="AG76" i="3"/>
  <c r="AF76" i="3"/>
  <c r="AD76" i="3"/>
  <c r="AC76" i="3"/>
  <c r="Y76" i="3"/>
  <c r="AK75" i="3"/>
  <c r="AI75" i="3"/>
  <c r="T75" i="3" s="1"/>
  <c r="AH75" i="3"/>
  <c r="AG75" i="3"/>
  <c r="AF75" i="3"/>
  <c r="AD75" i="3"/>
  <c r="AC75" i="3"/>
  <c r="Y75" i="3"/>
  <c r="AK74" i="3"/>
  <c r="AI74" i="3"/>
  <c r="T74" i="3" s="1"/>
  <c r="AH74" i="3"/>
  <c r="AG74" i="3"/>
  <c r="AF74" i="3"/>
  <c r="AD74" i="3"/>
  <c r="AC74" i="3"/>
  <c r="AE74" i="3" s="1"/>
  <c r="Y74" i="3"/>
  <c r="AK73" i="3"/>
  <c r="AI73" i="3"/>
  <c r="T73" i="3" s="1"/>
  <c r="AH73" i="3"/>
  <c r="AG73" i="3"/>
  <c r="AF73" i="3"/>
  <c r="AD73" i="3"/>
  <c r="AC73" i="3"/>
  <c r="Y73" i="3"/>
  <c r="AK72" i="3"/>
  <c r="AI72" i="3"/>
  <c r="T72" i="3" s="1"/>
  <c r="AH72" i="3"/>
  <c r="AG72" i="3"/>
  <c r="AF72" i="3"/>
  <c r="AD72" i="3"/>
  <c r="AC72" i="3"/>
  <c r="Y72" i="3"/>
  <c r="AK71" i="3"/>
  <c r="AI71" i="3"/>
  <c r="T71" i="3" s="1"/>
  <c r="AH71" i="3"/>
  <c r="AG71" i="3"/>
  <c r="AF71" i="3"/>
  <c r="AD71" i="3"/>
  <c r="AC71" i="3"/>
  <c r="Y71" i="3"/>
  <c r="AK70" i="3"/>
  <c r="AI70" i="3"/>
  <c r="T70" i="3" s="1"/>
  <c r="AH70" i="3"/>
  <c r="AG70" i="3"/>
  <c r="AF70" i="3"/>
  <c r="AD70" i="3"/>
  <c r="AC70" i="3"/>
  <c r="Y70" i="3"/>
  <c r="AK69" i="3"/>
  <c r="AI69" i="3"/>
  <c r="T69" i="3" s="1"/>
  <c r="AH69" i="3"/>
  <c r="AG69" i="3"/>
  <c r="AF69" i="3"/>
  <c r="AD69" i="3"/>
  <c r="AC69" i="3"/>
  <c r="Y69" i="3"/>
  <c r="AK68" i="3"/>
  <c r="AI68" i="3"/>
  <c r="T68" i="3" s="1"/>
  <c r="AH68" i="3"/>
  <c r="AG68" i="3"/>
  <c r="AF68" i="3"/>
  <c r="AD68" i="3"/>
  <c r="AC68" i="3"/>
  <c r="Y68" i="3"/>
  <c r="AK67" i="3"/>
  <c r="AI67" i="3"/>
  <c r="T67" i="3" s="1"/>
  <c r="AH67" i="3"/>
  <c r="AG67" i="3"/>
  <c r="AF67" i="3"/>
  <c r="AD67" i="3"/>
  <c r="AC67" i="3"/>
  <c r="Y67" i="3"/>
  <c r="AK66" i="3"/>
  <c r="AI66" i="3"/>
  <c r="T66" i="3" s="1"/>
  <c r="AH66" i="3"/>
  <c r="AG66" i="3"/>
  <c r="AF66" i="3"/>
  <c r="AD66" i="3"/>
  <c r="AC66" i="3"/>
  <c r="Y66" i="3"/>
  <c r="AK65" i="3"/>
  <c r="AI65" i="3"/>
  <c r="T65" i="3" s="1"/>
  <c r="AH65" i="3"/>
  <c r="AG65" i="3"/>
  <c r="AF65" i="3"/>
  <c r="AD65" i="3"/>
  <c r="AC65" i="3"/>
  <c r="Y65" i="3"/>
  <c r="AK64" i="3"/>
  <c r="AI64" i="3"/>
  <c r="T64" i="3" s="1"/>
  <c r="AH64" i="3"/>
  <c r="AG64" i="3"/>
  <c r="AF64" i="3"/>
  <c r="AD64" i="3"/>
  <c r="AC64" i="3"/>
  <c r="Y64" i="3"/>
  <c r="AK63" i="3"/>
  <c r="AI63" i="3"/>
  <c r="T63" i="3" s="1"/>
  <c r="AH63" i="3"/>
  <c r="AG63" i="3"/>
  <c r="AF63" i="3"/>
  <c r="AD63" i="3"/>
  <c r="AC63" i="3"/>
  <c r="Y63" i="3"/>
  <c r="AK62" i="3"/>
  <c r="AI62" i="3"/>
  <c r="T62" i="3" s="1"/>
  <c r="AH62" i="3"/>
  <c r="AG62" i="3"/>
  <c r="AF62" i="3"/>
  <c r="AD62" i="3"/>
  <c r="AC62" i="3"/>
  <c r="Y62" i="3"/>
  <c r="AK61" i="3"/>
  <c r="AI61" i="3"/>
  <c r="T61" i="3" s="1"/>
  <c r="AH61" i="3"/>
  <c r="AG61" i="3"/>
  <c r="AF61" i="3"/>
  <c r="AD61" i="3"/>
  <c r="AC61" i="3"/>
  <c r="Y61" i="3"/>
  <c r="AK60" i="3"/>
  <c r="AI60" i="3"/>
  <c r="T60" i="3" s="1"/>
  <c r="AH60" i="3"/>
  <c r="AG60" i="3"/>
  <c r="AF60" i="3"/>
  <c r="AD60" i="3"/>
  <c r="AC60" i="3"/>
  <c r="Y60" i="3"/>
  <c r="AK59" i="3"/>
  <c r="AI59" i="3"/>
  <c r="T59" i="3" s="1"/>
  <c r="AH59" i="3"/>
  <c r="AG59" i="3"/>
  <c r="AF59" i="3"/>
  <c r="AD59" i="3"/>
  <c r="AC59" i="3"/>
  <c r="Y59" i="3"/>
  <c r="AK58" i="3"/>
  <c r="AI58" i="3"/>
  <c r="T58" i="3" s="1"/>
  <c r="AH58" i="3"/>
  <c r="AG58" i="3"/>
  <c r="AF58" i="3"/>
  <c r="AD58" i="3"/>
  <c r="AC58" i="3"/>
  <c r="Y58" i="3"/>
  <c r="AK57" i="3"/>
  <c r="AI57" i="3"/>
  <c r="T57" i="3" s="1"/>
  <c r="AH57" i="3"/>
  <c r="AG57" i="3"/>
  <c r="AF57" i="3"/>
  <c r="AD57" i="3"/>
  <c r="AC57" i="3"/>
  <c r="Y57" i="3"/>
  <c r="AK56" i="3"/>
  <c r="AI56" i="3"/>
  <c r="T56" i="3" s="1"/>
  <c r="AH56" i="3"/>
  <c r="AG56" i="3"/>
  <c r="AF56" i="3"/>
  <c r="AD56" i="3"/>
  <c r="AC56" i="3"/>
  <c r="Y56" i="3"/>
  <c r="AK55" i="3"/>
  <c r="AI55" i="3"/>
  <c r="T55" i="3" s="1"/>
  <c r="AH55" i="3"/>
  <c r="AG55" i="3"/>
  <c r="AF55" i="3"/>
  <c r="AD55" i="3"/>
  <c r="AC55" i="3"/>
  <c r="Y55" i="3"/>
  <c r="AK54" i="3"/>
  <c r="AI54" i="3"/>
  <c r="T54" i="3" s="1"/>
  <c r="AH54" i="3"/>
  <c r="AG54" i="3"/>
  <c r="AF54" i="3"/>
  <c r="AD54" i="3"/>
  <c r="AC54" i="3"/>
  <c r="Y54" i="3"/>
  <c r="AK53" i="3"/>
  <c r="AI53" i="3"/>
  <c r="T53" i="3" s="1"/>
  <c r="AH53" i="3"/>
  <c r="AG53" i="3"/>
  <c r="AF53" i="3"/>
  <c r="AD53" i="3"/>
  <c r="AC53" i="3"/>
  <c r="Y53" i="3"/>
  <c r="AK52" i="3"/>
  <c r="AI52" i="3"/>
  <c r="T52" i="3" s="1"/>
  <c r="AH52" i="3"/>
  <c r="AG52" i="3"/>
  <c r="AF52" i="3"/>
  <c r="AD52" i="3"/>
  <c r="AC52" i="3"/>
  <c r="Y52" i="3"/>
  <c r="AK51" i="3"/>
  <c r="AI51" i="3"/>
  <c r="T51" i="3" s="1"/>
  <c r="AH51" i="3"/>
  <c r="AG51" i="3"/>
  <c r="AF51" i="3"/>
  <c r="AD51" i="3"/>
  <c r="AC51" i="3"/>
  <c r="Y51" i="3"/>
  <c r="AK50" i="3"/>
  <c r="AI50" i="3"/>
  <c r="T50" i="3" s="1"/>
  <c r="AH50" i="3"/>
  <c r="AG50" i="3"/>
  <c r="AF50" i="3"/>
  <c r="AD50" i="3"/>
  <c r="AC50" i="3"/>
  <c r="Y50" i="3"/>
  <c r="AK49" i="3"/>
  <c r="AI49" i="3"/>
  <c r="T49" i="3" s="1"/>
  <c r="AH49" i="3"/>
  <c r="AG49" i="3"/>
  <c r="AF49" i="3"/>
  <c r="AD49" i="3"/>
  <c r="AC49" i="3"/>
  <c r="Y49" i="3"/>
  <c r="AK48" i="3"/>
  <c r="AI48" i="3"/>
  <c r="T48" i="3" s="1"/>
  <c r="AH48" i="3"/>
  <c r="AG48" i="3"/>
  <c r="AF48" i="3"/>
  <c r="AD48" i="3"/>
  <c r="AC48" i="3"/>
  <c r="Y48" i="3"/>
  <c r="AK47" i="3"/>
  <c r="AI47" i="3"/>
  <c r="T47" i="3" s="1"/>
  <c r="AH47" i="3"/>
  <c r="AG47" i="3"/>
  <c r="AF47" i="3"/>
  <c r="AD47" i="3"/>
  <c r="AC47" i="3"/>
  <c r="Y47" i="3"/>
  <c r="AK46" i="3"/>
  <c r="AI46" i="3"/>
  <c r="T46" i="3" s="1"/>
  <c r="AH46" i="3"/>
  <c r="AG46" i="3"/>
  <c r="AF46" i="3"/>
  <c r="AD46" i="3"/>
  <c r="AC46" i="3"/>
  <c r="Y46" i="3"/>
  <c r="AK45" i="3"/>
  <c r="AI45" i="3"/>
  <c r="T45" i="3" s="1"/>
  <c r="AH45" i="3"/>
  <c r="AG45" i="3"/>
  <c r="AF45" i="3"/>
  <c r="AD45" i="3"/>
  <c r="AC45" i="3"/>
  <c r="Y45" i="3"/>
  <c r="AK44" i="3"/>
  <c r="AI44" i="3"/>
  <c r="T44" i="3" s="1"/>
  <c r="AH44" i="3"/>
  <c r="AG44" i="3"/>
  <c r="AF44" i="3"/>
  <c r="AD44" i="3"/>
  <c r="AC44" i="3"/>
  <c r="Y44" i="3"/>
  <c r="AK43" i="3"/>
  <c r="AI43" i="3"/>
  <c r="T43" i="3" s="1"/>
  <c r="AH43" i="3"/>
  <c r="AG43" i="3"/>
  <c r="AF43" i="3"/>
  <c r="AD43" i="3"/>
  <c r="AC43" i="3"/>
  <c r="Y43" i="3"/>
  <c r="AK42" i="3"/>
  <c r="AI42" i="3"/>
  <c r="T42" i="3" s="1"/>
  <c r="AH42" i="3"/>
  <c r="AG42" i="3"/>
  <c r="AF42" i="3"/>
  <c r="AD42" i="3"/>
  <c r="AC42" i="3"/>
  <c r="Y42" i="3"/>
  <c r="AK41" i="3"/>
  <c r="AI41" i="3"/>
  <c r="T41" i="3" s="1"/>
  <c r="AH41" i="3"/>
  <c r="AG41" i="3"/>
  <c r="AF41" i="3"/>
  <c r="AD41" i="3"/>
  <c r="AC41" i="3"/>
  <c r="Y41" i="3"/>
  <c r="AK40" i="3"/>
  <c r="AI40" i="3"/>
  <c r="T40" i="3" s="1"/>
  <c r="AH40" i="3"/>
  <c r="AG40" i="3"/>
  <c r="AF40" i="3"/>
  <c r="AD40" i="3"/>
  <c r="AC40" i="3"/>
  <c r="Y40" i="3"/>
  <c r="AK39" i="3"/>
  <c r="AI39" i="3"/>
  <c r="T39" i="3" s="1"/>
  <c r="AH39" i="3"/>
  <c r="AG39" i="3"/>
  <c r="AF39" i="3"/>
  <c r="AD39" i="3"/>
  <c r="AC39" i="3"/>
  <c r="Y39" i="3"/>
  <c r="AK38" i="3"/>
  <c r="AI38" i="3"/>
  <c r="T38" i="3" s="1"/>
  <c r="AH38" i="3"/>
  <c r="AG38" i="3"/>
  <c r="AF38" i="3"/>
  <c r="AD38" i="3"/>
  <c r="AC38" i="3"/>
  <c r="Y38" i="3"/>
  <c r="AK37" i="3"/>
  <c r="AI37" i="3"/>
  <c r="T37" i="3" s="1"/>
  <c r="AH37" i="3"/>
  <c r="AG37" i="3"/>
  <c r="AF37" i="3"/>
  <c r="AD37" i="3"/>
  <c r="AC37" i="3"/>
  <c r="Y37" i="3"/>
  <c r="AK36" i="3"/>
  <c r="AI36" i="3"/>
  <c r="T36" i="3" s="1"/>
  <c r="AH36" i="3"/>
  <c r="AG36" i="3"/>
  <c r="AF36" i="3"/>
  <c r="AD36" i="3"/>
  <c r="AC36" i="3"/>
  <c r="Y36" i="3"/>
  <c r="AK35" i="3"/>
  <c r="AI35" i="3"/>
  <c r="T35" i="3" s="1"/>
  <c r="AH35" i="3"/>
  <c r="AG35" i="3"/>
  <c r="AF35" i="3"/>
  <c r="AD35" i="3"/>
  <c r="AC35" i="3"/>
  <c r="Y35" i="3"/>
  <c r="AK34" i="3"/>
  <c r="AI34" i="3"/>
  <c r="T34" i="3" s="1"/>
  <c r="AH34" i="3"/>
  <c r="AG34" i="3"/>
  <c r="AF34" i="3"/>
  <c r="AD34" i="3"/>
  <c r="AC34" i="3"/>
  <c r="Y34" i="3"/>
  <c r="AK33" i="3"/>
  <c r="AI33" i="3"/>
  <c r="T33" i="3" s="1"/>
  <c r="AH33" i="3"/>
  <c r="AG33" i="3"/>
  <c r="AF33" i="3"/>
  <c r="AD33" i="3"/>
  <c r="AC33" i="3"/>
  <c r="Y33" i="3"/>
  <c r="AK32" i="3"/>
  <c r="AI32" i="3"/>
  <c r="T32" i="3" s="1"/>
  <c r="AH32" i="3"/>
  <c r="AG32" i="3"/>
  <c r="AF32" i="3"/>
  <c r="AD32" i="3"/>
  <c r="AC32" i="3"/>
  <c r="Y32" i="3"/>
  <c r="AK31" i="3"/>
  <c r="AI31" i="3"/>
  <c r="T31" i="3" s="1"/>
  <c r="AH31" i="3"/>
  <c r="AG31" i="3"/>
  <c r="AF31" i="3"/>
  <c r="AD31" i="3"/>
  <c r="AC31" i="3"/>
  <c r="Y31" i="3"/>
  <c r="AK30" i="3"/>
  <c r="AI30" i="3"/>
  <c r="T30" i="3" s="1"/>
  <c r="AH30" i="3"/>
  <c r="AG30" i="3"/>
  <c r="AF30" i="3"/>
  <c r="AD30" i="3"/>
  <c r="AC30" i="3"/>
  <c r="Y30" i="3"/>
  <c r="AK29" i="3"/>
  <c r="AI29" i="3"/>
  <c r="T29" i="3" s="1"/>
  <c r="AH29" i="3"/>
  <c r="AG29" i="3"/>
  <c r="AF29" i="3"/>
  <c r="AD29" i="3"/>
  <c r="AC29" i="3"/>
  <c r="Y29" i="3"/>
  <c r="AK28" i="3"/>
  <c r="AI28" i="3"/>
  <c r="T28" i="3" s="1"/>
  <c r="AH28" i="3"/>
  <c r="AG28" i="3"/>
  <c r="AF28" i="3"/>
  <c r="AD28" i="3"/>
  <c r="AC28" i="3"/>
  <c r="Y28" i="3"/>
  <c r="AK27" i="3"/>
  <c r="AI27" i="3"/>
  <c r="T27" i="3" s="1"/>
  <c r="AH27" i="3"/>
  <c r="AG27" i="3"/>
  <c r="AF27" i="3"/>
  <c r="AD27" i="3"/>
  <c r="AC27" i="3"/>
  <c r="Y27" i="3"/>
  <c r="AK26" i="3"/>
  <c r="AI26" i="3"/>
  <c r="T26" i="3" s="1"/>
  <c r="AH26" i="3"/>
  <c r="AG26" i="3"/>
  <c r="AF26" i="3"/>
  <c r="AD26" i="3"/>
  <c r="AC26" i="3"/>
  <c r="Y26" i="3"/>
  <c r="AK25" i="3"/>
  <c r="AI25" i="3"/>
  <c r="T25" i="3" s="1"/>
  <c r="AH25" i="3"/>
  <c r="AG25" i="3"/>
  <c r="AF25" i="3"/>
  <c r="AD25" i="3"/>
  <c r="AC25" i="3"/>
  <c r="Y25" i="3"/>
  <c r="AK24" i="3"/>
  <c r="AI24" i="3"/>
  <c r="T24" i="3" s="1"/>
  <c r="AH24" i="3"/>
  <c r="AG24" i="3"/>
  <c r="AF24" i="3"/>
  <c r="AD24" i="3"/>
  <c r="AC24" i="3"/>
  <c r="Y24" i="3"/>
  <c r="AK23" i="3"/>
  <c r="AI23" i="3"/>
  <c r="AH23" i="3"/>
  <c r="AG23" i="3"/>
  <c r="AF23" i="3"/>
  <c r="AD23" i="3"/>
  <c r="AC23" i="3"/>
  <c r="Y23" i="3"/>
  <c r="T23" i="3"/>
  <c r="AK22" i="3"/>
  <c r="AI22" i="3"/>
  <c r="T22" i="3" s="1"/>
  <c r="AH22" i="3"/>
  <c r="AG22" i="3"/>
  <c r="AF22" i="3"/>
  <c r="AD22" i="3"/>
  <c r="AC22" i="3"/>
  <c r="Y22" i="3"/>
  <c r="AK21" i="3"/>
  <c r="AI21" i="3"/>
  <c r="T21" i="3" s="1"/>
  <c r="AH21" i="3"/>
  <c r="AG21" i="3"/>
  <c r="AF21" i="3"/>
  <c r="AD21" i="3"/>
  <c r="AC21" i="3"/>
  <c r="Y21" i="3"/>
  <c r="AK20" i="3"/>
  <c r="AI20" i="3"/>
  <c r="T20" i="3" s="1"/>
  <c r="AH20" i="3"/>
  <c r="AG20" i="3"/>
  <c r="AF20" i="3"/>
  <c r="AD20" i="3"/>
  <c r="AC20" i="3"/>
  <c r="Y20" i="3"/>
  <c r="AK19" i="3"/>
  <c r="AI19" i="3"/>
  <c r="T19" i="3" s="1"/>
  <c r="AH19" i="3"/>
  <c r="AG19" i="3"/>
  <c r="AF19" i="3"/>
  <c r="AD19" i="3"/>
  <c r="AC19" i="3"/>
  <c r="Y19" i="3"/>
  <c r="AK18" i="3"/>
  <c r="AI18" i="3"/>
  <c r="T18" i="3" s="1"/>
  <c r="AH18" i="3"/>
  <c r="AG18" i="3"/>
  <c r="AF18" i="3"/>
  <c r="AD18" i="3"/>
  <c r="AC18" i="3"/>
  <c r="Y18" i="3"/>
  <c r="AK17" i="3"/>
  <c r="AI17" i="3"/>
  <c r="AH17" i="3"/>
  <c r="AG17" i="3"/>
  <c r="AF17" i="3"/>
  <c r="AD17" i="3"/>
  <c r="AC17" i="3"/>
  <c r="AE17" i="3" s="1"/>
  <c r="Y17" i="3"/>
  <c r="T17" i="3"/>
  <c r="AK16" i="3"/>
  <c r="AI16" i="3"/>
  <c r="T16" i="3" s="1"/>
  <c r="AH16" i="3"/>
  <c r="AG16" i="3"/>
  <c r="AF16" i="3"/>
  <c r="AD16" i="3"/>
  <c r="AC16" i="3"/>
  <c r="Y16" i="3"/>
  <c r="AE133" i="3" l="1"/>
  <c r="AE169" i="3"/>
  <c r="S169" i="3" s="1"/>
  <c r="AE126" i="3"/>
  <c r="AE80" i="3"/>
  <c r="S80" i="3" s="1"/>
  <c r="AE33" i="3"/>
  <c r="AE73" i="3"/>
  <c r="S79" i="3"/>
  <c r="AE195" i="3"/>
  <c r="AE137" i="3"/>
  <c r="S137" i="3" s="1"/>
  <c r="AE167" i="3"/>
  <c r="S167" i="3" s="1"/>
  <c r="Z167" i="3" s="1"/>
  <c r="AE23" i="3"/>
  <c r="S23" i="3" s="1"/>
  <c r="Z23" i="3" s="1"/>
  <c r="AO147" i="3" s="1"/>
  <c r="AE29" i="3"/>
  <c r="S29" i="3" s="1"/>
  <c r="Z29" i="3" s="1"/>
  <c r="AO153" i="3" s="1"/>
  <c r="AE72" i="3"/>
  <c r="AE87" i="3"/>
  <c r="S87" i="3" s="1"/>
  <c r="S113" i="3"/>
  <c r="AE187" i="3"/>
  <c r="AE203" i="3"/>
  <c r="AE159" i="3"/>
  <c r="S159" i="3" s="1"/>
  <c r="AE162" i="3"/>
  <c r="AE93" i="3"/>
  <c r="S93" i="3" s="1"/>
  <c r="AE125" i="3"/>
  <c r="S125" i="3" s="1"/>
  <c r="Z125" i="3" s="1"/>
  <c r="AE168" i="3"/>
  <c r="S168" i="3" s="1"/>
  <c r="Z168" i="3" s="1"/>
  <c r="AE186" i="3"/>
  <c r="S186" i="3" s="1"/>
  <c r="Z186" i="3" s="1"/>
  <c r="AE202" i="3"/>
  <c r="AE51" i="3"/>
  <c r="S51" i="3" s="1"/>
  <c r="Z51" i="3" s="1"/>
  <c r="AO175" i="3" s="1"/>
  <c r="AE121" i="3"/>
  <c r="S121" i="3" s="1"/>
  <c r="AE149" i="3"/>
  <c r="AE158" i="3"/>
  <c r="S183" i="3"/>
  <c r="S73" i="3"/>
  <c r="AE105" i="3"/>
  <c r="AE70" i="3"/>
  <c r="S70" i="3" s="1"/>
  <c r="AE170" i="3"/>
  <c r="AE179" i="3"/>
  <c r="S179" i="3" s="1"/>
  <c r="Z179" i="3" s="1"/>
  <c r="AE201" i="3"/>
  <c r="S201" i="3" s="1"/>
  <c r="Z201" i="3" s="1"/>
  <c r="AE21" i="3"/>
  <c r="S21" i="3" s="1"/>
  <c r="AE66" i="3"/>
  <c r="S66" i="3" s="1"/>
  <c r="AE69" i="3"/>
  <c r="AE88" i="3"/>
  <c r="AE148" i="3"/>
  <c r="AE151" i="3"/>
  <c r="S151" i="3" s="1"/>
  <c r="Z151" i="3" s="1"/>
  <c r="S72" i="3"/>
  <c r="AE75" i="3"/>
  <c r="AE138" i="3"/>
  <c r="S138" i="3" s="1"/>
  <c r="Z138" i="3" s="1"/>
  <c r="AE175" i="3"/>
  <c r="S175" i="3" s="1"/>
  <c r="Z175" i="3" s="1"/>
  <c r="AE31" i="3"/>
  <c r="S31" i="3" s="1"/>
  <c r="Z31" i="3" s="1"/>
  <c r="AO155" i="3" s="1"/>
  <c r="AE43" i="3"/>
  <c r="S43" i="3" s="1"/>
  <c r="Z43" i="3" s="1"/>
  <c r="AO167" i="3" s="1"/>
  <c r="AE83" i="3"/>
  <c r="AE97" i="3"/>
  <c r="S97" i="3" s="1"/>
  <c r="Z97" i="3" s="1"/>
  <c r="AE123" i="3"/>
  <c r="S123" i="3" s="1"/>
  <c r="Z123" i="3" s="1"/>
  <c r="AE139" i="3"/>
  <c r="AE140" i="3"/>
  <c r="S140" i="3" s="1"/>
  <c r="AE143" i="3"/>
  <c r="S143" i="3" s="1"/>
  <c r="AE163" i="3"/>
  <c r="S163" i="3" s="1"/>
  <c r="Z169" i="3"/>
  <c r="AE59" i="3"/>
  <c r="AE127" i="3"/>
  <c r="AE129" i="3"/>
  <c r="S129" i="3" s="1"/>
  <c r="Z129" i="3" s="1"/>
  <c r="S130" i="3"/>
  <c r="Z130" i="3" s="1"/>
  <c r="AE146" i="3"/>
  <c r="AE147" i="3"/>
  <c r="S147" i="3" s="1"/>
  <c r="AE171" i="3"/>
  <c r="S171" i="3" s="1"/>
  <c r="S187" i="3"/>
  <c r="S203" i="3"/>
  <c r="AE35" i="3"/>
  <c r="AE89" i="3"/>
  <c r="AE115" i="3"/>
  <c r="S115" i="3" s="1"/>
  <c r="Z115" i="3" s="1"/>
  <c r="S148" i="3"/>
  <c r="S149" i="3"/>
  <c r="Z149" i="3" s="1"/>
  <c r="AE172" i="3"/>
  <c r="S172" i="3" s="1"/>
  <c r="Z172" i="3" s="1"/>
  <c r="AE191" i="3"/>
  <c r="S191" i="3" s="1"/>
  <c r="AE206" i="3"/>
  <c r="S206" i="3" s="1"/>
  <c r="Z206" i="3" s="1"/>
  <c r="AE207" i="3"/>
  <c r="S207" i="3" s="1"/>
  <c r="AE25" i="3"/>
  <c r="AE64" i="3"/>
  <c r="S64" i="3" s="1"/>
  <c r="AE65" i="3"/>
  <c r="S65" i="3" s="1"/>
  <c r="AE77" i="3"/>
  <c r="S77" i="3" s="1"/>
  <c r="AE78" i="3"/>
  <c r="S78" i="3" s="1"/>
  <c r="AE91" i="3"/>
  <c r="S91" i="3" s="1"/>
  <c r="Z91" i="3" s="1"/>
  <c r="AO215" i="3" s="1"/>
  <c r="AE92" i="3"/>
  <c r="AE117" i="3"/>
  <c r="S117" i="3" s="1"/>
  <c r="Z117" i="3" s="1"/>
  <c r="AE118" i="3"/>
  <c r="AE131" i="3"/>
  <c r="S131" i="3" s="1"/>
  <c r="Z131" i="3" s="1"/>
  <c r="AE132" i="3"/>
  <c r="S132" i="3" s="1"/>
  <c r="AE152" i="3"/>
  <c r="AE208" i="3"/>
  <c r="Z93" i="3"/>
  <c r="AE81" i="3"/>
  <c r="S81" i="3" s="1"/>
  <c r="AE134" i="3"/>
  <c r="AE154" i="3"/>
  <c r="S154" i="3" s="1"/>
  <c r="Z154" i="3" s="1"/>
  <c r="AE155" i="3"/>
  <c r="S155" i="3" s="1"/>
  <c r="Z155" i="3" s="1"/>
  <c r="AE177" i="3"/>
  <c r="S177" i="3" s="1"/>
  <c r="Z177" i="3" s="1"/>
  <c r="S192" i="3"/>
  <c r="Z192" i="3" s="1"/>
  <c r="AE193" i="3"/>
  <c r="S193" i="3" s="1"/>
  <c r="S194" i="3"/>
  <c r="Z194" i="3" s="1"/>
  <c r="S195" i="3"/>
  <c r="AE67" i="3"/>
  <c r="S67" i="3" s="1"/>
  <c r="Z67" i="3" s="1"/>
  <c r="AO191" i="3" s="1"/>
  <c r="AE160" i="3"/>
  <c r="S160" i="3" s="1"/>
  <c r="Z160" i="3" s="1"/>
  <c r="S162" i="3"/>
  <c r="Z162" i="3" s="1"/>
  <c r="AE178" i="3"/>
  <c r="AE199" i="3"/>
  <c r="S199" i="3" s="1"/>
  <c r="Z199" i="3" s="1"/>
  <c r="S17" i="3"/>
  <c r="Z17" i="3" s="1"/>
  <c r="AO141" i="3" s="1"/>
  <c r="S25" i="3"/>
  <c r="Z25" i="3" s="1"/>
  <c r="AO149" i="3" s="1"/>
  <c r="S33" i="3"/>
  <c r="Z33" i="3" s="1"/>
  <c r="AO157" i="3" s="1"/>
  <c r="S74" i="3"/>
  <c r="Z74" i="3" s="1"/>
  <c r="AO198" i="3" s="1"/>
  <c r="S88" i="3"/>
  <c r="Z88" i="3" s="1"/>
  <c r="S126" i="3"/>
  <c r="Z126" i="3" s="1"/>
  <c r="S133" i="3"/>
  <c r="Z133" i="3" s="1"/>
  <c r="S134" i="3"/>
  <c r="Z134" i="3" s="1"/>
  <c r="S158" i="3"/>
  <c r="Z158" i="3" s="1"/>
  <c r="AE210" i="3"/>
  <c r="AE18" i="3"/>
  <c r="S18" i="3" s="1"/>
  <c r="AE26" i="3"/>
  <c r="S26" i="3" s="1"/>
  <c r="AE34" i="3"/>
  <c r="S34" i="3" s="1"/>
  <c r="Z34" i="3" s="1"/>
  <c r="AO158" i="3" s="1"/>
  <c r="AE41" i="3"/>
  <c r="S41" i="3" s="1"/>
  <c r="Z41" i="3" s="1"/>
  <c r="AO165" i="3" s="1"/>
  <c r="AE42" i="3"/>
  <c r="S42" i="3" s="1"/>
  <c r="AE49" i="3"/>
  <c r="S49" i="3" s="1"/>
  <c r="AE50" i="3"/>
  <c r="S50" i="3" s="1"/>
  <c r="Z50" i="3" s="1"/>
  <c r="AO174" i="3" s="1"/>
  <c r="AE57" i="3"/>
  <c r="S57" i="3" s="1"/>
  <c r="Z57" i="3" s="1"/>
  <c r="AO181" i="3" s="1"/>
  <c r="AE58" i="3"/>
  <c r="S58" i="3" s="1"/>
  <c r="AE95" i="3"/>
  <c r="S95" i="3" s="1"/>
  <c r="Z95" i="3" s="1"/>
  <c r="AE103" i="3"/>
  <c r="S103" i="3" s="1"/>
  <c r="Z103" i="3" s="1"/>
  <c r="AE104" i="3"/>
  <c r="S104" i="3" s="1"/>
  <c r="Z104" i="3" s="1"/>
  <c r="AE111" i="3"/>
  <c r="S111" i="3" s="1"/>
  <c r="Z111" i="3" s="1"/>
  <c r="AE112" i="3"/>
  <c r="AE165" i="3"/>
  <c r="S165" i="3" s="1"/>
  <c r="Z165" i="3" s="1"/>
  <c r="AE166" i="3"/>
  <c r="S166" i="3" s="1"/>
  <c r="Z166" i="3" s="1"/>
  <c r="AE173" i="3"/>
  <c r="AE174" i="3"/>
  <c r="S174" i="3" s="1"/>
  <c r="Z174" i="3" s="1"/>
  <c r="AE181" i="3"/>
  <c r="S181" i="3" s="1"/>
  <c r="Z181" i="3" s="1"/>
  <c r="AE19" i="3"/>
  <c r="S19" i="3" s="1"/>
  <c r="Z19" i="3" s="1"/>
  <c r="AO143" i="3" s="1"/>
  <c r="AE27" i="3"/>
  <c r="S27" i="3" s="1"/>
  <c r="AE68" i="3"/>
  <c r="S68" i="3" s="1"/>
  <c r="S89" i="3"/>
  <c r="S119" i="3"/>
  <c r="Z119" i="3" s="1"/>
  <c r="AE120" i="3"/>
  <c r="S120" i="3" s="1"/>
  <c r="Z120" i="3" s="1"/>
  <c r="S144" i="3"/>
  <c r="Z144" i="3" s="1"/>
  <c r="AE145" i="3"/>
  <c r="S145" i="3" s="1"/>
  <c r="Z145" i="3" s="1"/>
  <c r="AE153" i="3"/>
  <c r="S153" i="3" s="1"/>
  <c r="Z153" i="3" s="1"/>
  <c r="AE182" i="3"/>
  <c r="S182" i="3" s="1"/>
  <c r="Z182" i="3" s="1"/>
  <c r="AE189" i="3"/>
  <c r="S189" i="3" s="1"/>
  <c r="Z189" i="3" s="1"/>
  <c r="AE196" i="3"/>
  <c r="S196" i="3" s="1"/>
  <c r="Z196" i="3" s="1"/>
  <c r="AE20" i="3"/>
  <c r="S20" i="3" s="1"/>
  <c r="AE28" i="3"/>
  <c r="S28" i="3" s="1"/>
  <c r="Z28" i="3" s="1"/>
  <c r="AO152" i="3" s="1"/>
  <c r="S35" i="3"/>
  <c r="Z35" i="3" s="1"/>
  <c r="AO159" i="3" s="1"/>
  <c r="AE36" i="3"/>
  <c r="S36" i="3" s="1"/>
  <c r="Z36" i="3" s="1"/>
  <c r="AO160" i="3" s="1"/>
  <c r="AE44" i="3"/>
  <c r="S44" i="3" s="1"/>
  <c r="AE52" i="3"/>
  <c r="S52" i="3" s="1"/>
  <c r="Z52" i="3" s="1"/>
  <c r="AO176" i="3" s="1"/>
  <c r="S59" i="3"/>
  <c r="Z59" i="3" s="1"/>
  <c r="AO183" i="3" s="1"/>
  <c r="AE60" i="3"/>
  <c r="S60" i="3" s="1"/>
  <c r="Z60" i="3" s="1"/>
  <c r="AO184" i="3" s="1"/>
  <c r="S75" i="3"/>
  <c r="Z75" i="3" s="1"/>
  <c r="AO199" i="3" s="1"/>
  <c r="AE76" i="3"/>
  <c r="S76" i="3" s="1"/>
  <c r="Z76" i="3" s="1"/>
  <c r="AO200" i="3" s="1"/>
  <c r="S83" i="3"/>
  <c r="AE84" i="3"/>
  <c r="AE98" i="3"/>
  <c r="S98" i="3" s="1"/>
  <c r="Z98" i="3" s="1"/>
  <c r="S105" i="3"/>
  <c r="Z105" i="3" s="1"/>
  <c r="AE161" i="3"/>
  <c r="S161" i="3" s="1"/>
  <c r="Z161" i="3" s="1"/>
  <c r="AE190" i="3"/>
  <c r="S190" i="3" s="1"/>
  <c r="Z190" i="3" s="1"/>
  <c r="AE197" i="3"/>
  <c r="S197" i="3" s="1"/>
  <c r="Z197" i="3" s="1"/>
  <c r="AE198" i="3"/>
  <c r="S198" i="3" s="1"/>
  <c r="Z198" i="3" s="1"/>
  <c r="AE205" i="3"/>
  <c r="S205" i="3" s="1"/>
  <c r="Z205" i="3" s="1"/>
  <c r="AE213" i="3"/>
  <c r="Z121" i="3"/>
  <c r="AE22" i="3"/>
  <c r="S22" i="3" s="1"/>
  <c r="Z22" i="3" s="1"/>
  <c r="AO146" i="3" s="1"/>
  <c r="AE30" i="3"/>
  <c r="S30" i="3" s="1"/>
  <c r="Z30" i="3" s="1"/>
  <c r="AO154" i="3" s="1"/>
  <c r="AE37" i="3"/>
  <c r="S37" i="3" s="1"/>
  <c r="Z37" i="3" s="1"/>
  <c r="AO161" i="3" s="1"/>
  <c r="AE38" i="3"/>
  <c r="S38" i="3" s="1"/>
  <c r="Z38" i="3" s="1"/>
  <c r="AO162" i="3" s="1"/>
  <c r="AE45" i="3"/>
  <c r="S45" i="3" s="1"/>
  <c r="AE46" i="3"/>
  <c r="S46" i="3" s="1"/>
  <c r="Z46" i="3" s="1"/>
  <c r="AO170" i="3" s="1"/>
  <c r="AE53" i="3"/>
  <c r="S53" i="3" s="1"/>
  <c r="Z53" i="3" s="1"/>
  <c r="AO177" i="3" s="1"/>
  <c r="AE54" i="3"/>
  <c r="S54" i="3" s="1"/>
  <c r="Z54" i="3" s="1"/>
  <c r="AO178" i="3" s="1"/>
  <c r="AE61" i="3"/>
  <c r="S61" i="3" s="1"/>
  <c r="Z61" i="3" s="1"/>
  <c r="AO185" i="3" s="1"/>
  <c r="AE62" i="3"/>
  <c r="S62" i="3" s="1"/>
  <c r="AE85" i="3"/>
  <c r="S85" i="3" s="1"/>
  <c r="AE86" i="3"/>
  <c r="AE99" i="3"/>
  <c r="S99" i="3" s="1"/>
  <c r="Z99" i="3" s="1"/>
  <c r="AE107" i="3"/>
  <c r="S107" i="3" s="1"/>
  <c r="Z107" i="3" s="1"/>
  <c r="AE184" i="3"/>
  <c r="S184" i="3" s="1"/>
  <c r="Z184" i="3" s="1"/>
  <c r="AE185" i="3"/>
  <c r="S185" i="3" s="1"/>
  <c r="Z185" i="3" s="1"/>
  <c r="AE214" i="3"/>
  <c r="Z137" i="3"/>
  <c r="S173" i="3"/>
  <c r="Z173" i="3" s="1"/>
  <c r="Z132" i="3"/>
  <c r="Z140" i="3"/>
  <c r="Z148" i="3"/>
  <c r="Z193" i="3"/>
  <c r="AE16" i="3"/>
  <c r="S16" i="3" s="1"/>
  <c r="AE24" i="3"/>
  <c r="S24" i="3" s="1"/>
  <c r="Z24" i="3" s="1"/>
  <c r="AO148" i="3" s="1"/>
  <c r="AE32" i="3"/>
  <c r="S32" i="3" s="1"/>
  <c r="AE39" i="3"/>
  <c r="S39" i="3" s="1"/>
  <c r="Z39" i="3" s="1"/>
  <c r="AO163" i="3" s="1"/>
  <c r="AE40" i="3"/>
  <c r="S40" i="3" s="1"/>
  <c r="AE47" i="3"/>
  <c r="S47" i="3" s="1"/>
  <c r="AE48" i="3"/>
  <c r="S48" i="3" s="1"/>
  <c r="AE55" i="3"/>
  <c r="S55" i="3" s="1"/>
  <c r="Z55" i="3" s="1"/>
  <c r="AO179" i="3" s="1"/>
  <c r="AE56" i="3"/>
  <c r="S56" i="3" s="1"/>
  <c r="AE63" i="3"/>
  <c r="S63" i="3" s="1"/>
  <c r="Z63" i="3" s="1"/>
  <c r="AO187" i="3" s="1"/>
  <c r="S69" i="3"/>
  <c r="Z69" i="3" s="1"/>
  <c r="AO193" i="3" s="1"/>
  <c r="AE71" i="3"/>
  <c r="S71" i="3" s="1"/>
  <c r="AE94" i="3"/>
  <c r="S94" i="3" s="1"/>
  <c r="Z94" i="3" s="1"/>
  <c r="AE101" i="3"/>
  <c r="S101" i="3" s="1"/>
  <c r="Z101" i="3" s="1"/>
  <c r="AE102" i="3"/>
  <c r="AE109" i="3"/>
  <c r="S109" i="3" s="1"/>
  <c r="Z109" i="3" s="1"/>
  <c r="AE110" i="3"/>
  <c r="S110" i="3" s="1"/>
  <c r="Z110" i="3" s="1"/>
  <c r="AE141" i="3"/>
  <c r="S141" i="3" s="1"/>
  <c r="AE142" i="3"/>
  <c r="S142" i="3" s="1"/>
  <c r="Z142" i="3" s="1"/>
  <c r="AE150" i="3"/>
  <c r="S150" i="3" s="1"/>
  <c r="Z150" i="3" s="1"/>
  <c r="AE157" i="3"/>
  <c r="S157" i="3" s="1"/>
  <c r="Z157" i="3" s="1"/>
  <c r="P41" i="4"/>
  <c r="P33" i="4"/>
  <c r="P25" i="4"/>
  <c r="P40" i="4"/>
  <c r="P32" i="4"/>
  <c r="P24" i="4"/>
  <c r="P22" i="4"/>
  <c r="P37" i="4"/>
  <c r="P29" i="4"/>
  <c r="P21" i="4"/>
  <c r="P34" i="4"/>
  <c r="P26" i="4"/>
  <c r="Z49" i="3"/>
  <c r="AO173" i="3" s="1"/>
  <c r="Z58" i="3"/>
  <c r="AO182" i="3" s="1"/>
  <c r="Z27" i="3"/>
  <c r="AO151" i="3" s="1"/>
  <c r="Z44" i="3"/>
  <c r="Z83" i="3"/>
  <c r="AO207" i="3" s="1"/>
  <c r="Z77" i="3"/>
  <c r="AO201" i="3" s="1"/>
  <c r="Z78" i="3"/>
  <c r="AO202" i="3" s="1"/>
  <c r="Z21" i="3"/>
  <c r="AO145" i="3" s="1"/>
  <c r="Z45" i="3"/>
  <c r="Z62" i="3"/>
  <c r="AO186" i="3" s="1"/>
  <c r="Z26" i="3"/>
  <c r="AO150" i="3" s="1"/>
  <c r="Z70" i="3"/>
  <c r="AO194" i="3" s="1"/>
  <c r="Z79" i="3"/>
  <c r="AO203" i="3" s="1"/>
  <c r="Z16" i="3"/>
  <c r="AO140" i="3" s="1"/>
  <c r="Z47" i="3"/>
  <c r="AO171" i="3" s="1"/>
  <c r="Z56" i="3"/>
  <c r="AO180" i="3" s="1"/>
  <c r="Z71" i="3"/>
  <c r="AO195" i="3" s="1"/>
  <c r="Z18" i="3"/>
  <c r="AO142" i="3" s="1"/>
  <c r="Z81" i="3"/>
  <c r="AO205" i="3" s="1"/>
  <c r="Z87" i="3"/>
  <c r="AO211" i="3" s="1"/>
  <c r="Z65" i="3"/>
  <c r="AO189" i="3" s="1"/>
  <c r="Z73" i="3"/>
  <c r="AO197" i="3" s="1"/>
  <c r="Z42" i="3"/>
  <c r="AO166" i="3" s="1"/>
  <c r="Z68" i="3"/>
  <c r="AO192" i="3" s="1"/>
  <c r="Z89" i="3"/>
  <c r="AO213" i="3" s="1"/>
  <c r="S86" i="3"/>
  <c r="AE108" i="3"/>
  <c r="S108" i="3" s="1"/>
  <c r="Z108" i="3" s="1"/>
  <c r="AE124" i="3"/>
  <c r="S124" i="3" s="1"/>
  <c r="Z124" i="3" s="1"/>
  <c r="S139" i="3"/>
  <c r="Z139" i="3" s="1"/>
  <c r="S176" i="3"/>
  <c r="Z176" i="3" s="1"/>
  <c r="Z187" i="3"/>
  <c r="AE188" i="3"/>
  <c r="S188" i="3" s="1"/>
  <c r="Z188" i="3" s="1"/>
  <c r="S200" i="3"/>
  <c r="Z200" i="3" s="1"/>
  <c r="AE114" i="3"/>
  <c r="S114" i="3" s="1"/>
  <c r="Z114" i="3" s="1"/>
  <c r="S146" i="3"/>
  <c r="Z146" i="3" s="1"/>
  <c r="Z159" i="3"/>
  <c r="S170" i="3"/>
  <c r="Z170" i="3" s="1"/>
  <c r="AE215" i="3"/>
  <c r="S84" i="3"/>
  <c r="Z147" i="3"/>
  <c r="Z171" i="3"/>
  <c r="Z183" i="3"/>
  <c r="Z80" i="3"/>
  <c r="AO204" i="3" s="1"/>
  <c r="Z195" i="3"/>
  <c r="Z207" i="3"/>
  <c r="S208" i="3"/>
  <c r="Z208" i="3" s="1"/>
  <c r="S92" i="3"/>
  <c r="Z92" i="3" s="1"/>
  <c r="Z64" i="3"/>
  <c r="AO188" i="3" s="1"/>
  <c r="AE90" i="3"/>
  <c r="S90" i="3" s="1"/>
  <c r="AE96" i="3"/>
  <c r="S96" i="3" s="1"/>
  <c r="Z96" i="3" s="1"/>
  <c r="AE100" i="3"/>
  <c r="S100" i="3" s="1"/>
  <c r="Z100" i="3" s="1"/>
  <c r="AE116" i="3"/>
  <c r="S116" i="3" s="1"/>
  <c r="Z116" i="3" s="1"/>
  <c r="S127" i="3"/>
  <c r="Z127" i="3" s="1"/>
  <c r="AE128" i="3"/>
  <c r="S128" i="3" s="1"/>
  <c r="Z128" i="3" s="1"/>
  <c r="S135" i="3"/>
  <c r="Z135" i="3" s="1"/>
  <c r="AE136" i="3"/>
  <c r="S136" i="3" s="1"/>
  <c r="Z136" i="3" s="1"/>
  <c r="Z143" i="3"/>
  <c r="AE156" i="3"/>
  <c r="S156" i="3" s="1"/>
  <c r="Z156" i="3" s="1"/>
  <c r="S178" i="3"/>
  <c r="Z178" i="3" s="1"/>
  <c r="S202" i="3"/>
  <c r="Z202" i="3" s="1"/>
  <c r="AE209" i="3"/>
  <c r="S82" i="3"/>
  <c r="AE106" i="3"/>
  <c r="S106" i="3" s="1"/>
  <c r="Z106" i="3" s="1"/>
  <c r="Z113" i="3"/>
  <c r="AE122" i="3"/>
  <c r="S122" i="3" s="1"/>
  <c r="Z122" i="3" s="1"/>
  <c r="AE180" i="3"/>
  <c r="S180" i="3" s="1"/>
  <c r="Z180" i="3" s="1"/>
  <c r="Z191" i="3"/>
  <c r="Z203" i="3"/>
  <c r="AE204" i="3"/>
  <c r="S204" i="3" s="1"/>
  <c r="Z204" i="3" s="1"/>
  <c r="S112" i="3"/>
  <c r="Z112" i="3" s="1"/>
  <c r="AE211" i="3"/>
  <c r="Z72" i="3"/>
  <c r="AO196" i="3" s="1"/>
  <c r="S102" i="3"/>
  <c r="Z102" i="3" s="1"/>
  <c r="S118" i="3"/>
  <c r="Z118" i="3" s="1"/>
  <c r="Z141" i="3"/>
  <c r="S152" i="3"/>
  <c r="Z152" i="3" s="1"/>
  <c r="Z163" i="3"/>
  <c r="AE164" i="3"/>
  <c r="S164" i="3" s="1"/>
  <c r="Z164" i="3" s="1"/>
  <c r="AO168" i="3" l="1"/>
  <c r="AO212" i="3"/>
  <c r="Z48" i="3"/>
  <c r="AO172" i="3" s="1"/>
  <c r="AO169" i="3"/>
  <c r="Z85" i="3"/>
  <c r="AO209" i="3" s="1"/>
  <c r="D72" i="4" a="1"/>
  <c r="D72" i="4" s="1"/>
  <c r="Z40" i="3"/>
  <c r="AO164" i="3" s="1"/>
  <c r="Z32" i="3"/>
  <c r="AO156" i="3" s="1"/>
  <c r="Z20" i="3"/>
  <c r="AO144" i="3" s="1"/>
  <c r="Z82" i="3"/>
  <c r="AO206" i="3" s="1"/>
  <c r="Z90" i="3"/>
  <c r="AO214" i="3" s="1"/>
  <c r="Z86" i="3"/>
  <c r="AO210" i="3" s="1"/>
  <c r="Z66" i="3"/>
  <c r="AO190" i="3" s="1"/>
  <c r="Z84" i="3"/>
  <c r="AO208" i="3" s="1"/>
  <c r="A12" i="9" l="1"/>
  <c r="G50" i="2" l="1"/>
  <c r="F50" i="2" l="1"/>
  <c r="E50" i="2"/>
  <c r="D59" i="4" a="1"/>
  <c r="D59" i="4" s="1"/>
  <c r="D58" i="4" a="1"/>
  <c r="D58" i="4" s="1"/>
  <c r="D42" i="4" a="1"/>
  <c r="D42" i="4" s="1"/>
  <c r="D43" i="4" a="1"/>
  <c r="D43" i="4" s="1"/>
  <c r="D44" i="4" a="1"/>
  <c r="D44" i="4" s="1"/>
  <c r="D45" i="4" a="1"/>
  <c r="D45" i="4" s="1"/>
  <c r="D46" i="4" a="1"/>
  <c r="D46" i="4" s="1"/>
  <c r="D47" i="4" a="1"/>
  <c r="D47" i="4" s="1"/>
  <c r="D48" i="4" a="1"/>
  <c r="D48" i="4" s="1"/>
  <c r="D49" i="4" a="1"/>
  <c r="D49" i="4" s="1"/>
  <c r="D50" i="4" a="1"/>
  <c r="D50" i="4" s="1"/>
  <c r="D51" i="4" a="1"/>
  <c r="D51" i="4" s="1"/>
  <c r="D52" i="4" a="1"/>
  <c r="D52" i="4" s="1"/>
  <c r="D53" i="4" a="1"/>
  <c r="D53" i="4" s="1"/>
  <c r="D54" i="4" a="1"/>
  <c r="D54" i="4" s="1"/>
  <c r="D55" i="4" a="1"/>
  <c r="D55" i="4" s="1"/>
  <c r="D56" i="4" a="1"/>
  <c r="D56" i="4" s="1"/>
  <c r="D57" i="4" a="1"/>
  <c r="D57" i="4" s="1"/>
  <c r="H10" i="9"/>
  <c r="G10" i="9"/>
  <c r="F11" i="9"/>
  <c r="E11" i="9"/>
  <c r="D23" i="9"/>
  <c r="C23" i="9"/>
  <c r="B12" i="9"/>
  <c r="R91" i="10"/>
  <c r="R81" i="10"/>
  <c r="R34" i="10"/>
  <c r="R15" i="10"/>
  <c r="R89" i="10"/>
  <c r="R18" i="10"/>
  <c r="R19" i="10"/>
  <c r="R21" i="10"/>
  <c r="R22" i="10"/>
  <c r="R14" i="10"/>
  <c r="A18" i="13"/>
  <c r="Q9" i="10" s="1"/>
  <c r="Q94" i="10"/>
  <c r="Q95" i="10"/>
  <c r="Q96" i="10"/>
  <c r="Q93" i="10"/>
  <c r="Q90" i="10"/>
  <c r="Q91" i="10"/>
  <c r="Q92" i="10"/>
  <c r="Q89" i="10"/>
  <c r="Q88" i="10"/>
  <c r="Q83" i="10"/>
  <c r="Q84" i="10"/>
  <c r="Q85" i="10"/>
  <c r="Q86" i="10"/>
  <c r="Q87" i="10"/>
  <c r="Q82" i="10"/>
  <c r="Q76" i="10"/>
  <c r="Q77" i="10"/>
  <c r="Q78" i="10"/>
  <c r="Q79" i="10"/>
  <c r="Q80" i="10"/>
  <c r="Q81" i="10"/>
  <c r="Q75" i="10"/>
  <c r="Q51" i="10"/>
  <c r="Q52" i="10"/>
  <c r="Q53" i="10"/>
  <c r="Q54" i="10"/>
  <c r="Q55" i="10"/>
  <c r="Q56" i="10"/>
  <c r="Q57" i="10"/>
  <c r="Q58" i="10"/>
  <c r="Q59" i="10"/>
  <c r="Q60" i="10"/>
  <c r="Q61" i="10"/>
  <c r="Q62" i="10"/>
  <c r="Q63" i="10"/>
  <c r="Q64" i="10"/>
  <c r="Q65" i="10"/>
  <c r="Q66" i="10"/>
  <c r="Q67" i="10"/>
  <c r="Q68" i="10"/>
  <c r="Q69" i="10"/>
  <c r="Q70" i="10"/>
  <c r="Q71" i="10"/>
  <c r="Q72" i="10"/>
  <c r="Q73" i="10"/>
  <c r="Q74" i="10"/>
  <c r="Q50" i="10"/>
  <c r="Q27" i="10"/>
  <c r="Q28" i="10"/>
  <c r="Q29" i="10"/>
  <c r="Q30" i="10"/>
  <c r="Q31" i="10"/>
  <c r="Q32" i="10"/>
  <c r="Q33" i="10"/>
  <c r="Q34" i="10"/>
  <c r="Q35" i="10"/>
  <c r="Q36" i="10"/>
  <c r="Q37" i="10"/>
  <c r="Q38" i="10"/>
  <c r="Q39" i="10"/>
  <c r="Q40" i="10"/>
  <c r="Q41" i="10"/>
  <c r="Q42" i="10"/>
  <c r="Q43" i="10"/>
  <c r="Q44" i="10"/>
  <c r="Q45" i="10"/>
  <c r="Q46" i="10"/>
  <c r="Q47" i="10"/>
  <c r="Q48" i="10"/>
  <c r="Q49" i="10"/>
  <c r="Q26" i="10"/>
  <c r="Q15" i="10"/>
  <c r="Q16" i="10"/>
  <c r="Q17" i="10"/>
  <c r="Q18" i="10"/>
  <c r="Q19" i="10"/>
  <c r="Q20" i="10"/>
  <c r="Q21" i="10"/>
  <c r="Q22" i="10"/>
  <c r="Q23" i="10"/>
  <c r="Q24" i="10"/>
  <c r="Q25" i="10"/>
  <c r="Q14" i="10"/>
  <c r="M89" i="10"/>
  <c r="M90" i="10"/>
  <c r="M91" i="10"/>
  <c r="M92" i="10"/>
  <c r="M93" i="10"/>
  <c r="M94" i="10"/>
  <c r="M95" i="10"/>
  <c r="M96" i="10"/>
  <c r="M75" i="10"/>
  <c r="M76" i="10"/>
  <c r="M77" i="10"/>
  <c r="M78" i="10"/>
  <c r="M79" i="10"/>
  <c r="M80" i="10"/>
  <c r="M81" i="10"/>
  <c r="M82" i="10"/>
  <c r="M83" i="10"/>
  <c r="M84" i="10"/>
  <c r="M85" i="10"/>
  <c r="M86" i="10"/>
  <c r="M87" i="10"/>
  <c r="M88"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14" i="10"/>
  <c r="M15" i="10"/>
  <c r="M16" i="10"/>
  <c r="M17" i="10"/>
  <c r="M18" i="10"/>
  <c r="M19" i="10"/>
  <c r="M20" i="10"/>
  <c r="M21" i="10"/>
  <c r="M22" i="10"/>
  <c r="M23" i="10"/>
  <c r="M24" i="10"/>
  <c r="M25" i="10"/>
  <c r="M3" i="10"/>
  <c r="M4" i="10"/>
  <c r="M5" i="10"/>
  <c r="M6" i="10"/>
  <c r="M7" i="10"/>
  <c r="M8" i="10"/>
  <c r="M9" i="10"/>
  <c r="M10" i="10"/>
  <c r="M11" i="10"/>
  <c r="M12" i="10"/>
  <c r="M13" i="10"/>
  <c r="M2" i="10"/>
  <c r="Q49" i="4" l="1" a="1"/>
  <c r="Q49" i="4" s="1"/>
  <c r="Q54" i="4" a="1"/>
  <c r="Q54" i="4" s="1"/>
  <c r="Q48" i="4" a="1"/>
  <c r="Q48" i="4" s="1"/>
  <c r="Q44" i="4" a="1"/>
  <c r="Q44" i="4" s="1"/>
  <c r="Q59" i="4" a="1"/>
  <c r="Q59" i="4" s="1"/>
  <c r="Q50" i="4" a="1"/>
  <c r="Q50" i="4" s="1"/>
  <c r="Q56" i="4" a="1"/>
  <c r="Q56" i="4" s="1"/>
  <c r="Q47" i="4" a="1"/>
  <c r="Q47" i="4" s="1"/>
  <c r="Q58" i="4" a="1"/>
  <c r="Q58" i="4" s="1"/>
  <c r="Q51" i="4" a="1"/>
  <c r="Q51" i="4" s="1"/>
  <c r="Q46" i="4" a="1"/>
  <c r="Q46" i="4" s="1"/>
  <c r="Q53" i="4" a="1"/>
  <c r="Q53" i="4" s="1"/>
  <c r="Q55" i="4" a="1"/>
  <c r="Q55" i="4" s="1"/>
  <c r="Q45" i="4" a="1"/>
  <c r="Q45" i="4" s="1"/>
  <c r="Q43" i="4" a="1"/>
  <c r="Q43" i="4" s="1"/>
  <c r="Q57" i="4" a="1"/>
  <c r="Q57" i="4" s="1"/>
  <c r="Q52" i="4" a="1"/>
  <c r="Q52" i="4" s="1"/>
  <c r="Q42" i="4" a="1"/>
  <c r="Q42" i="4" s="1"/>
  <c r="Q20" i="4" a="1"/>
  <c r="Q20" i="4" s="1"/>
  <c r="R95" i="10"/>
  <c r="R94" i="10"/>
  <c r="R86" i="10"/>
  <c r="R57" i="10"/>
  <c r="R11" i="10"/>
  <c r="R10" i="10"/>
  <c r="R9" i="10"/>
  <c r="R6" i="10"/>
  <c r="R5" i="10"/>
  <c r="R2" i="10"/>
  <c r="R3" i="10"/>
  <c r="R7" i="10"/>
  <c r="R13" i="10"/>
  <c r="R12" i="10"/>
  <c r="R93" i="10"/>
  <c r="R96" i="10"/>
  <c r="R92" i="10"/>
  <c r="R90" i="10"/>
  <c r="R84" i="10"/>
  <c r="R83" i="10"/>
  <c r="R88" i="10"/>
  <c r="R85" i="10"/>
  <c r="R87" i="10"/>
  <c r="R82" i="10"/>
  <c r="R78" i="10"/>
  <c r="R77" i="10"/>
  <c r="R80" i="10"/>
  <c r="R76" i="10"/>
  <c r="R79" i="10"/>
  <c r="R75" i="10"/>
  <c r="R64" i="10"/>
  <c r="R71" i="10"/>
  <c r="R63" i="10"/>
  <c r="R55" i="10"/>
  <c r="R70" i="10"/>
  <c r="R62" i="10"/>
  <c r="R54" i="10"/>
  <c r="R56" i="10"/>
  <c r="R69" i="10"/>
  <c r="R61" i="10"/>
  <c r="R53" i="10"/>
  <c r="R68" i="10"/>
  <c r="R60" i="10"/>
  <c r="R52" i="10"/>
  <c r="R51" i="10"/>
  <c r="R72" i="10"/>
  <c r="R67" i="10"/>
  <c r="R50" i="10"/>
  <c r="R66" i="10"/>
  <c r="R58" i="10"/>
  <c r="R74" i="10"/>
  <c r="R59" i="10"/>
  <c r="R73" i="10"/>
  <c r="R65" i="10"/>
  <c r="R41" i="10"/>
  <c r="R33" i="10"/>
  <c r="R48" i="10"/>
  <c r="R40" i="10"/>
  <c r="R32" i="10"/>
  <c r="R47" i="10"/>
  <c r="R39" i="10"/>
  <c r="R31" i="10"/>
  <c r="R46" i="10"/>
  <c r="R45" i="10"/>
  <c r="R37" i="10"/>
  <c r="R29" i="10"/>
  <c r="R44" i="10"/>
  <c r="R36" i="10"/>
  <c r="R28" i="10"/>
  <c r="R30" i="10"/>
  <c r="R43" i="10"/>
  <c r="R35" i="10"/>
  <c r="R27" i="10"/>
  <c r="R49" i="10"/>
  <c r="R38" i="10"/>
  <c r="R26" i="10"/>
  <c r="R42" i="10"/>
  <c r="R20" i="10"/>
  <c r="R25" i="10"/>
  <c r="R17" i="10"/>
  <c r="R24" i="10"/>
  <c r="R16" i="10"/>
  <c r="R23" i="10"/>
  <c r="R4" i="10"/>
  <c r="R8" i="10"/>
  <c r="Q2" i="10"/>
  <c r="Q6" i="10"/>
  <c r="Q13" i="10"/>
  <c r="Q5" i="10"/>
  <c r="Q7" i="10"/>
  <c r="Q12" i="10"/>
  <c r="Q3" i="10"/>
  <c r="Q10" i="10"/>
  <c r="Q8" i="10"/>
  <c r="Q4" i="10"/>
  <c r="Q11" i="10"/>
  <c r="C31" i="13"/>
  <c r="D31" i="13"/>
  <c r="H10" i="13"/>
  <c r="F13" i="13"/>
  <c r="E13" i="13"/>
  <c r="G10" i="13"/>
  <c r="B18" i="13"/>
  <c r="Q41" i="4" l="1" a="1"/>
  <c r="Q41" i="4" s="1"/>
  <c r="D41" i="4" a="1"/>
  <c r="D41" i="4" s="1"/>
  <c r="D20" i="4" a="1"/>
  <c r="Q26" i="4" a="1"/>
  <c r="Q26" i="4" s="1"/>
  <c r="Q27" i="4" a="1"/>
  <c r="Q27" i="4" s="1"/>
  <c r="Q28" i="4" a="1"/>
  <c r="Q28" i="4" s="1"/>
  <c r="D34" i="4" a="1"/>
  <c r="D36" i="4" a="1"/>
  <c r="Q34" i="4" a="1"/>
  <c r="Q34" i="4" s="1"/>
  <c r="D27" i="4" a="1"/>
  <c r="Q35" i="4" a="1"/>
  <c r="Q35" i="4" s="1"/>
  <c r="D21" i="4" a="1"/>
  <c r="D25" i="4" a="1"/>
  <c r="Q23" i="4" a="1"/>
  <c r="Q23" i="4" s="1"/>
  <c r="Q21" i="4" a="1"/>
  <c r="Q21" i="4" s="1"/>
  <c r="Q29" i="4" a="1"/>
  <c r="Q29" i="4" s="1"/>
  <c r="Q38" i="4" a="1"/>
  <c r="Q38" i="4" s="1"/>
  <c r="D28" i="4" a="1"/>
  <c r="Q22" i="4" a="1"/>
  <c r="Q22" i="4" s="1"/>
  <c r="Q31" i="4" a="1"/>
  <c r="Q31" i="4" s="1"/>
  <c r="D23" i="4" a="1"/>
  <c r="Q37" i="4" a="1"/>
  <c r="Q37" i="4" s="1"/>
  <c r="Q32" i="4" a="1"/>
  <c r="Q32" i="4" s="1"/>
  <c r="Q40" i="4" a="1"/>
  <c r="Q40" i="4" s="1"/>
  <c r="D35" i="4" a="1"/>
  <c r="Q39" i="4" a="1"/>
  <c r="Q39" i="4" s="1"/>
  <c r="D22" i="4" a="1"/>
  <c r="D31" i="4" a="1"/>
  <c r="Q30" i="4" a="1"/>
  <c r="Q30" i="4" s="1"/>
  <c r="D24" i="4" a="1"/>
  <c r="Q24" i="4" a="1"/>
  <c r="Q24" i="4" s="1"/>
  <c r="D30" i="4" a="1"/>
  <c r="D39" i="4" a="1"/>
  <c r="D29" i="4" a="1"/>
  <c r="D32" i="4" a="1"/>
  <c r="D37" i="4" a="1"/>
  <c r="D33" i="4" a="1"/>
  <c r="D38" i="4" a="1"/>
  <c r="Q36" i="4" a="1"/>
  <c r="Q36" i="4" s="1"/>
  <c r="Q33" i="4" a="1"/>
  <c r="Q33" i="4" s="1"/>
  <c r="D40" i="4" a="1"/>
  <c r="D26" i="4" a="1"/>
  <c r="Q25" i="4" a="1"/>
  <c r="Q25" i="4" s="1"/>
  <c r="N96" i="10"/>
  <c r="N95" i="10"/>
  <c r="N94" i="10"/>
  <c r="N93" i="10"/>
  <c r="N92" i="10"/>
  <c r="N90" i="10"/>
  <c r="N91" i="10"/>
  <c r="N89" i="10"/>
  <c r="N88" i="10"/>
  <c r="N83" i="10"/>
  <c r="N84" i="10"/>
  <c r="N85" i="10"/>
  <c r="N86" i="10"/>
  <c r="N87" i="10"/>
  <c r="N82" i="10"/>
  <c r="N81" i="10"/>
  <c r="N76" i="10"/>
  <c r="N77" i="10"/>
  <c r="N78" i="10"/>
  <c r="N79" i="10"/>
  <c r="N80" i="10"/>
  <c r="N75" i="10"/>
  <c r="N73" i="10"/>
  <c r="N72" i="10"/>
  <c r="N71" i="10"/>
  <c r="N70" i="10"/>
  <c r="N69" i="10"/>
  <c r="N68" i="10"/>
  <c r="N67" i="10"/>
  <c r="N66" i="10"/>
  <c r="N65" i="10"/>
  <c r="N64" i="10"/>
  <c r="N63" i="10"/>
  <c r="N62" i="10"/>
  <c r="N61" i="10"/>
  <c r="N60" i="10"/>
  <c r="N59" i="10"/>
  <c r="N58" i="10"/>
  <c r="N57" i="10"/>
  <c r="N56" i="10"/>
  <c r="N55" i="10"/>
  <c r="N54" i="10"/>
  <c r="N53" i="10"/>
  <c r="N52" i="10"/>
  <c r="N51" i="10"/>
  <c r="N50" i="10"/>
  <c r="N74" i="10"/>
  <c r="N49" i="10"/>
  <c r="N48" i="10"/>
  <c r="N47" i="10"/>
  <c r="N46" i="10"/>
  <c r="N45" i="10"/>
  <c r="N44" i="10"/>
  <c r="N43" i="10"/>
  <c r="N42" i="10"/>
  <c r="N41" i="10"/>
  <c r="N40" i="10"/>
  <c r="N39" i="10"/>
  <c r="N38" i="10"/>
  <c r="N35" i="10"/>
  <c r="N36" i="10"/>
  <c r="N34" i="10"/>
  <c r="N33" i="10"/>
  <c r="N37" i="10"/>
  <c r="N32" i="10"/>
  <c r="N31" i="10"/>
  <c r="N30" i="10"/>
  <c r="N29" i="10"/>
  <c r="N28" i="10"/>
  <c r="N27" i="10"/>
  <c r="N26" i="10"/>
  <c r="D25" i="4" l="1"/>
  <c r="D22" i="4"/>
  <c r="D21" i="4"/>
  <c r="D23" i="4"/>
  <c r="D27" i="4"/>
  <c r="D20" i="4"/>
  <c r="D31" i="4"/>
  <c r="D34" i="4"/>
  <c r="D37" i="4"/>
  <c r="D35" i="4"/>
  <c r="D29" i="4"/>
  <c r="D30" i="4"/>
  <c r="D36" i="4"/>
  <c r="D40" i="4"/>
  <c r="D38" i="4"/>
  <c r="D33" i="4"/>
  <c r="D32" i="4"/>
  <c r="D28" i="4"/>
  <c r="D39" i="4"/>
  <c r="D26" i="4"/>
  <c r="D24" i="4"/>
  <c r="N13" i="10" l="1"/>
  <c r="N12" i="10"/>
  <c r="N11" i="10"/>
  <c r="N10" i="10"/>
  <c r="N9" i="10"/>
  <c r="N8" i="10"/>
  <c r="N7" i="10"/>
  <c r="N6" i="10"/>
  <c r="N5" i="10"/>
  <c r="N4" i="10"/>
  <c r="N3" i="10"/>
  <c r="N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tc={67D73126-A000-42E1-84F2-A6E0107A8B4F}</author>
  </authors>
  <commentList>
    <comment ref="C1" authorId="0" shapeId="0" xr:uid="{67D73126-A000-42E1-84F2-A6E0107A8B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Formater en tant que texte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55FB3FE-18D4-4F36-95BC-AE31D7AA3494}" keepAlive="1" name="Abfrage - Knoten_AM" description="Verbindung mit der Abfrage 'Knoten_AM' in der Arbeitsmappe." type="5" refreshedVersion="8" background="1" saveData="1">
    <dbPr connection="Provider=Microsoft.Mashup.OleDb.1;Data Source=$Workbook$;Location=Knoten_AM;Extended Properties=&quot;&quot;" command="SELECT * FROM [Knoten_AM]"/>
  </connection>
  <connection id="2" xr16:uid="{BEF4ACBF-9985-4EBA-ADD2-F28D183C9723}" keepAlive="1" name="Abfrage - Knoten_AM_3" description="Verbindung mit der Abfrage 'Knoten_AM_3' in der Arbeitsmappe." type="5" refreshedVersion="0" background="1" saveData="1">
    <dbPr connection="Provider=Microsoft.Mashup.OleDb.1;Data Source=$Workbook$;Location=Knoten_AM_3;Extended Properties=&quot;&quot;" command="SELECT * FROM [Knoten_AM_3]"/>
  </connection>
  <connection id="3" xr16:uid="{4346F646-F2B1-4B86-913D-FF937D20956F}" keepAlive="1" name="Abfrage - Strecken_AM" description="Verbindung mit der Abfrage 'Strecken_AM' in der Arbeitsmappe." type="5" refreshedVersion="8" background="1" saveData="1">
    <dbPr connection="Provider=Microsoft.Mashup.OleDb.1;Data Source=$Workbook$;Location=Strecken_AM;Extended Properties=&quot;&quot;" command="SELECT * FROM [Strecken_AM]"/>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<sst xmlns="http://schemas.openxmlformats.org/spreadsheetml/2006/main" count="12913" uniqueCount="2131">
  <si>
    <r>
      <rPr>
        <b/>
        <sz val="12"/>
        <color theme="1"/>
        <rFont val="BFU Suisse"/>
        <family val="2"/>
      </rPr>
      <t xml:space="preserve">Déroulement de l’évaluation matérielle </t>
    </r>
  </si>
  <si>
    <r>
      <rPr>
        <sz val="10"/>
        <color theme="1"/>
        <rFont val="BFU Suisse"/>
        <family val="2"/>
      </rPr>
      <t xml:space="preserve">L’évaluation matérielle de la demande se déroule en trois étapes: </t>
    </r>
  </si>
  <si>
    <r>
      <rPr>
        <b/>
        <sz val="12"/>
        <color theme="4" tint="-0.249977111117893"/>
        <rFont val="BFU Suisse"/>
        <family val="2"/>
      </rPr>
      <t>1</t>
    </r>
    <r>
      <rPr>
        <sz val="12"/>
        <color theme="1"/>
        <rFont val="BFU Suisse"/>
        <family val="2"/>
      </rPr>
      <t xml:space="preserve"> </t>
    </r>
    <r>
      <rPr>
        <b/>
        <sz val="12"/>
        <color theme="1"/>
        <rFont val="BFU Suisse"/>
        <family val="2"/>
      </rPr>
      <t>- Réception par type de véhicules</t>
    </r>
  </si>
  <si>
    <r>
      <rPr>
        <b/>
        <sz val="12"/>
        <color theme="0"/>
        <rFont val="BFU Suisse"/>
        <family val="2"/>
      </rPr>
      <t xml:space="preserve">Évaluation </t>
    </r>
  </si>
  <si>
    <r>
      <rPr>
        <b/>
        <sz val="12"/>
        <color theme="0"/>
        <rFont val="BFU Suisse"/>
        <family val="2"/>
      </rPr>
      <t xml:space="preserve">Remarque </t>
    </r>
  </si>
  <si>
    <r>
      <rPr>
        <b/>
        <sz val="12"/>
        <color theme="0"/>
        <rFont val="BFU Suisse"/>
        <family val="2"/>
      </rPr>
      <t xml:space="preserve">Article de </t>
    </r>
    <r>
      <rPr>
        <b/>
        <sz val="12"/>
        <color theme="0"/>
        <rFont val="BFU Suisse"/>
        <family val="2"/>
      </rPr>
      <t xml:space="preserve">
</t>
    </r>
    <r>
      <rPr>
        <b/>
        <sz val="12"/>
        <color theme="0"/>
        <rFont val="BFU Suisse"/>
        <family val="2"/>
      </rPr>
      <t>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</si>
  <si>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</si>
  <si>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</si>
  <si>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</si>
  <si>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</si>
  <si>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b/>
        <sz val="9"/>
        <color theme="4"/>
        <rFont val="BFU Suisse"/>
        <family val="2"/>
      </rPr>
      <t xml:space="preserve">Annexe de la réception par type </t>
    </r>
    <r>
      <rPr>
        <sz val="9"/>
        <color theme="1"/>
        <rFont val="BFU Suisse"/>
        <family val="2"/>
      </rPr>
      <t>comportant les informations détaillées sur le système d’automatisation</t>
    </r>
  </si>
  <si>
    <r>
      <rPr>
        <sz val="9"/>
        <color theme="1"/>
        <rFont val="BFU Suisse"/>
        <family val="2"/>
      </rPr>
      <t>x</t>
    </r>
  </si>
  <si>
    <r>
      <rPr>
        <b/>
        <sz val="12"/>
        <color theme="4" tint="-0.249977111117893"/>
        <rFont val="BFU Suisse"/>
        <family val="2"/>
      </rPr>
      <t>2</t>
    </r>
    <r>
      <rPr>
        <b/>
        <sz val="12"/>
        <color theme="1"/>
        <rFont val="BFU Suisse"/>
        <family val="2"/>
      </rPr>
      <t xml:space="preserve"> - Déclaration de consentement des personnes soumises à l’obligation de notifier et de renseigner</t>
    </r>
  </si>
  <si>
    <r>
      <rPr>
        <b/>
        <sz val="12"/>
        <color theme="0"/>
        <rFont val="BFU Suisse"/>
        <family val="2"/>
      </rPr>
      <t>Question pour l’évaluation:</t>
    </r>
    <r>
      <rPr>
        <b/>
        <sz val="12"/>
        <color theme="0"/>
        <rFont val="BFU Suisse"/>
        <family val="2"/>
      </rPr>
      <t xml:space="preserve">
</t>
    </r>
    <r>
      <rPr>
        <sz val="10"/>
        <color theme="0"/>
        <rFont val="BFU Suisse"/>
        <family val="2"/>
      </rPr>
      <t xml:space="preserve">La demande contient-elle des déclarations de consentement ou des accords des parties suivantes concernant les informations suivantes? </t>
    </r>
  </si>
  <si>
    <r>
      <rPr>
        <b/>
        <sz val="12"/>
        <color theme="0"/>
        <rFont val="BFU Suisse"/>
        <family val="2"/>
      </rPr>
      <t>Évaluation</t>
    </r>
  </si>
  <si>
    <r>
      <rPr>
        <b/>
        <sz val="12"/>
        <color theme="0"/>
        <rFont val="BFU Suisse"/>
        <family val="2"/>
      </rPr>
      <t xml:space="preserve">Remarque </t>
    </r>
  </si>
  <si>
    <r>
      <rPr>
        <b/>
        <sz val="12"/>
        <color theme="0"/>
        <rFont val="BFU Suisse"/>
        <family val="2"/>
      </rPr>
      <t xml:space="preserve">Article de référence </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</si>
  <si>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</si>
  <si>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</si>
  <si>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</si>
  <si>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</si>
  <si>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</si>
  <si>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</si>
  <si>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</si>
  <si>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b/>
        <sz val="12"/>
        <color theme="0"/>
        <rFont val="BFU Suisse"/>
        <family val="2"/>
      </rPr>
      <t>Exigences</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</si>
  <si>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</si>
  <si>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</si>
  <si>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</si>
  <si>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</si>
  <si>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</si>
  <si>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</si>
  <si>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</si>
  <si>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b/>
        <sz val="9"/>
        <color theme="4"/>
        <rFont val="BFU Suisse"/>
        <family val="2"/>
      </rPr>
      <t>3.2</t>
    </r>
  </si>
  <si>
    <r>
      <rPr>
        <sz val="9"/>
        <color theme="1"/>
        <rFont val="BFU Suisse"/>
        <family val="2"/>
      </rPr>
      <t>x</t>
    </r>
  </si>
  <si>
    <r>
      <rPr>
        <sz val="9"/>
        <color theme="1"/>
        <rFont val="BFU Suisse"/>
        <family val="2"/>
      </rPr>
      <t>x</t>
    </r>
  </si>
  <si>
    <r>
      <rPr>
        <b/>
        <sz val="12"/>
        <color theme="0"/>
        <rFont val="BFU Suisse"/>
        <family val="2"/>
      </rPr>
      <t xml:space="preserve">Exigences </t>
    </r>
    <r>
      <rPr>
        <b/>
        <sz val="12"/>
        <color theme="0"/>
        <rFont val="BFU Suisse"/>
        <family val="2"/>
      </rPr>
      <t xml:space="preserve">
</t>
    </r>
    <r>
      <rPr>
        <sz val="12"/>
        <color theme="0"/>
        <rFont val="BFU Suisse"/>
        <family val="2"/>
      </rPr>
      <t>Nombre d’opérateur·rices</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</si>
  <si>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</si>
  <si>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</si>
  <si>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</si>
  <si>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</si>
  <si>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</si>
  <si>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</si>
  <si>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</si>
  <si>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 xml:space="preserve">Le </t>
    </r>
    <r>
      <rPr>
        <sz val="9"/>
        <color theme="4"/>
        <rFont val="BFU Suisse"/>
        <family val="2"/>
      </rPr>
      <t>ROV prévu est compréhensible / convaincant / suffisant.</t>
    </r>
  </si>
  <si>
    <r>
      <rPr>
        <sz val="9"/>
        <color theme="1"/>
        <rFont val="BFU Suisse"/>
        <family val="2"/>
      </rPr>
      <t>x</t>
    </r>
  </si>
  <si>
    <r>
      <rPr>
        <b/>
        <sz val="12"/>
        <color theme="0"/>
        <rFont val="BFU Suisse"/>
        <family val="2"/>
      </rPr>
      <t xml:space="preserve">Exigences </t>
    </r>
    <r>
      <rPr>
        <b/>
        <sz val="12"/>
        <color theme="0"/>
        <rFont val="BFU Suisse"/>
        <family val="2"/>
      </rPr>
      <t xml:space="preserve">
</t>
    </r>
    <r>
      <rPr>
        <sz val="12"/>
        <color theme="0"/>
        <rFont val="BFU Suisse"/>
        <family val="2"/>
      </rPr>
      <t>Qualifications des opérateur·rices</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</si>
  <si>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</si>
  <si>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</si>
  <si>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</si>
  <si>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</si>
  <si>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</si>
  <si>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</si>
  <si>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</si>
  <si>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</si>
  <si>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</si>
  <si>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b/>
        <sz val="12"/>
        <color theme="0"/>
        <rFont val="BFU Suisse"/>
        <family val="2"/>
      </rPr>
      <t>Exigences</t>
    </r>
    <r>
      <rPr>
        <b/>
        <sz val="12"/>
        <color theme="0"/>
        <rFont val="BFU Suisse"/>
        <family val="2"/>
      </rPr>
      <t xml:space="preserve">
</t>
    </r>
    <r>
      <rPr>
        <sz val="12"/>
        <color theme="0"/>
        <rFont val="BFU Suisse"/>
        <family val="2"/>
      </rPr>
      <t>Lieu de travail et équipement du poste de travail</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</si>
  <si>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</si>
  <si>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</si>
  <si>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</si>
  <si>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</si>
  <si>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</si>
  <si>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</si>
  <si>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</si>
  <si>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</si>
  <si>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</si>
  <si>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</si>
  <si>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</si>
  <si>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</si>
  <si>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</si>
  <si>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</si>
  <si>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</si>
  <si>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Art. 38 al. 3 let. c OCAut</t>
    </r>
  </si>
  <si>
    <r>
      <rPr>
        <sz val="9"/>
        <rFont val="BFU Suisse"/>
        <family val="2"/>
      </rPr>
      <t xml:space="preserve">La description est </t>
    </r>
    <r>
      <rPr>
        <sz val="9"/>
        <color theme="4"/>
        <rFont val="BFU Suisse"/>
        <family val="2"/>
      </rPr>
      <t>compréhensible / convaincante / suffisante.</t>
    </r>
  </si>
  <si>
    <r>
      <rPr>
        <sz val="9"/>
        <color theme="1"/>
        <rFont val="BFU Suisse"/>
        <family val="2"/>
      </rPr>
      <t>x</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</si>
  <si>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</si>
  <si>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</si>
  <si>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</si>
  <si>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</si>
  <si>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</si>
  <si>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</si>
  <si>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</si>
  <si>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</si>
  <si>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</si>
  <si>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</si>
  <si>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</si>
  <si>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</si>
  <si>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</si>
  <si>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</si>
  <si>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</si>
  <si>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 xml:space="preserve">Les </t>
    </r>
    <r>
      <rPr>
        <b/>
        <sz val="9"/>
        <color theme="4"/>
        <rFont val="BFU Suisse"/>
        <family val="2"/>
      </rPr>
      <t>mesures visant à garantir une surveillance fiable de l’exploitation</t>
    </r>
    <r>
      <rPr>
        <sz val="9"/>
        <color theme="4"/>
        <rFont val="BFU Suisse"/>
        <family val="2"/>
      </rPr>
      <t xml:space="preserve"> </t>
    </r>
    <r>
      <rPr>
        <sz val="9"/>
        <color theme="1"/>
        <rFont val="BFU Suisse"/>
        <family val="2"/>
      </rPr>
      <t xml:space="preserve">sont </t>
    </r>
    <r>
      <rPr>
        <sz val="9"/>
        <color theme="4"/>
        <rFont val="BFU Suisse"/>
        <family val="2"/>
      </rPr>
      <t>compréhensibles / convaincantes / suffisantes.</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</si>
  <si>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</si>
  <si>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</si>
  <si>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</si>
  <si>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</si>
  <si>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 xml:space="preserve">La </t>
    </r>
    <r>
      <rPr>
        <b/>
        <sz val="9"/>
        <color theme="4"/>
        <rFont val="BFU Suisse"/>
        <family val="2"/>
      </rPr>
      <t>procédure en cas d’arrêt du véhicule entravant la circulation et les mesures prévues</t>
    </r>
    <r>
      <rPr>
        <sz val="9"/>
        <color theme="1"/>
        <rFont val="BFU Suisse"/>
        <family val="2"/>
      </rPr>
      <t xml:space="preserve"> sont </t>
    </r>
    <r>
      <rPr>
        <sz val="9"/>
        <color theme="4"/>
        <rFont val="BFU Suisse"/>
        <family val="2"/>
      </rPr>
      <t>compréhensibles / convaincantes / suffisantes.</t>
    </r>
  </si>
  <si>
    <r>
      <rPr>
        <sz val="9"/>
        <color theme="1"/>
        <rFont val="BFU Suisse"/>
        <family val="2"/>
      </rPr>
      <t>x</t>
    </r>
  </si>
  <si>
    <r>
      <rPr>
        <sz val="9"/>
        <color theme="1"/>
        <rFont val="BFU Suisse"/>
        <family val="2"/>
      </rPr>
      <t>x</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</si>
  <si>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</si>
  <si>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</si>
  <si>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</si>
  <si>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</si>
  <si>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</si>
  <si>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</si>
  <si>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</si>
  <si>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rFont val="BFU Suisse"/>
        <family val="2"/>
      </rPr>
      <t xml:space="preserve">La redondance technique est </t>
    </r>
    <r>
      <rPr>
        <sz val="9"/>
        <color theme="4"/>
        <rFont val="BFU Suisse"/>
        <family val="2"/>
      </rPr>
      <t>compréhensible / convaincante / suffisante.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</si>
  <si>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</si>
  <si>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</si>
  <si>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</si>
  <si>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</si>
  <si>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</si>
  <si>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</si>
  <si>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</si>
  <si>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rFont val="BFU Suisse"/>
        <family val="2"/>
      </rPr>
      <t>La description est</t>
    </r>
    <r>
      <rPr>
        <sz val="9"/>
        <color theme="4"/>
        <rFont val="BFU Suisse"/>
        <family val="2"/>
      </rPr>
      <t xml:space="preserve"> compréhensible </t>
    </r>
    <r>
      <rPr>
        <sz val="9"/>
        <color theme="1"/>
        <rFont val="BFU Suisse"/>
        <family val="2"/>
      </rPr>
      <t>et la solution envisagée</t>
    </r>
    <r>
      <rPr>
        <sz val="9"/>
        <color theme="4"/>
        <rFont val="BFU Suisse"/>
        <family val="2"/>
      </rPr>
      <t xml:space="preserve"> est convaincante / suffisante.</t>
    </r>
  </si>
  <si>
    <r>
      <rPr>
        <sz val="9"/>
        <color theme="1"/>
        <rFont val="BFU Suisse"/>
        <family val="2"/>
      </rPr>
      <t>x</t>
    </r>
  </si>
  <si>
    <r>
      <rPr>
        <b/>
        <sz val="12"/>
        <color theme="0"/>
        <rFont val="BFU Suisse"/>
        <family val="2"/>
      </rPr>
      <t>Exigences</t>
    </r>
    <r>
      <rPr>
        <b/>
        <sz val="12"/>
        <color theme="0"/>
        <rFont val="BFU Suisse"/>
        <family val="2"/>
      </rPr>
      <t xml:space="preserve">
</t>
    </r>
    <r>
      <rPr>
        <sz val="12"/>
        <color theme="0"/>
        <rFont val="BFU Suisse"/>
        <family val="2"/>
      </rPr>
      <t xml:space="preserve"> Liaison radio et communication</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</si>
  <si>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</si>
  <si>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</si>
  <si>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</si>
  <si>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</si>
  <si>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</si>
  <si>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</si>
  <si>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rFont val="BFU Suisse"/>
        <family val="2"/>
      </rPr>
      <t>La</t>
    </r>
    <r>
      <rPr>
        <sz val="9"/>
        <color theme="4"/>
        <rFont val="BFU Suisse"/>
        <family val="2"/>
      </rPr>
      <t xml:space="preserve"> </t>
    </r>
    <r>
      <rPr>
        <b/>
        <sz val="9"/>
        <color theme="4"/>
        <rFont val="BFU Suisse"/>
        <family val="2"/>
      </rPr>
      <t>fonction d’intervention à distance</t>
    </r>
    <r>
      <rPr>
        <sz val="9"/>
        <color theme="1"/>
        <rFont val="BFU Suisse"/>
        <family val="2"/>
      </rPr>
      <t xml:space="preserve"> du véhicule</t>
    </r>
    <r>
      <rPr>
        <sz val="9"/>
        <color theme="4"/>
        <rFont val="BFU Suisse"/>
        <family val="2"/>
      </rPr>
      <t xml:space="preserve"> est décrite. </t>
    </r>
  </si>
  <si>
    <r>
      <rPr>
        <sz val="9"/>
        <color theme="1"/>
        <rFont val="BFU Suisse"/>
        <family val="2"/>
      </rPr>
      <t>x</t>
    </r>
  </si>
  <si>
    <r>
      <rPr>
        <sz val="9"/>
        <color theme="1"/>
        <rFont val="BFU Suisse"/>
        <family val="2"/>
      </rPr>
      <t>x</t>
    </r>
  </si>
  <si>
    <r>
      <rPr>
        <sz val="9"/>
        <color theme="4"/>
        <rFont val="BFU Suisse"/>
        <family val="2"/>
      </rPr>
      <t xml:space="preserve">La preuve technique </t>
    </r>
    <r>
      <rPr>
        <sz val="9"/>
        <rFont val="BFU Suisse"/>
        <family val="2"/>
      </rPr>
      <t>indiquée dans la confirmation</t>
    </r>
    <r>
      <rPr>
        <sz val="9"/>
        <color theme="4"/>
        <rFont val="BFU Suisse"/>
        <family val="2"/>
      </rPr>
      <t xml:space="preserve"> est compréhensible / convaincante / suffisante.</t>
    </r>
  </si>
  <si>
    <r>
      <rPr>
        <sz val="9"/>
        <color theme="1"/>
        <rFont val="BFU Suisse"/>
        <family val="2"/>
      </rPr>
      <t>x</t>
    </r>
  </si>
  <si>
    <r>
      <rPr>
        <sz val="9"/>
        <rFont val="BFU Suisse"/>
        <family val="2"/>
      </rPr>
      <t>x</t>
    </r>
  </si>
  <si>
    <r>
      <rPr>
        <sz val="9"/>
        <rFont val="BFU Suisse"/>
        <family val="2"/>
      </rPr>
      <t>Les réactions de type «failsafe» et «failover» décrites sont</t>
    </r>
    <r>
      <rPr>
        <sz val="9"/>
        <color theme="4"/>
        <rFont val="BFU Suisse"/>
        <family val="2"/>
      </rPr>
      <t xml:space="preserve"> compréhensibles / convaincantes / suffisantes.</t>
    </r>
  </si>
  <si>
    <r>
      <rPr>
        <sz val="9"/>
        <rFont val="BFU Suisse"/>
        <family val="2"/>
      </rPr>
      <t>x</t>
    </r>
  </si>
  <si>
    <r>
      <rPr>
        <sz val="9"/>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</si>
  <si>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</si>
  <si>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</si>
  <si>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</si>
  <si>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</si>
  <si>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</si>
  <si>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</si>
  <si>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</si>
  <si>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</si>
  <si>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</si>
  <si>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</si>
  <si>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</si>
  <si>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</si>
  <si>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</si>
  <si>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</si>
  <si>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 xml:space="preserve">La description </t>
    </r>
    <r>
      <rPr>
        <sz val="9"/>
        <rFont val="BFU Suisse"/>
        <family val="2"/>
      </rPr>
      <t>est</t>
    </r>
    <r>
      <rPr>
        <sz val="9"/>
        <color theme="4"/>
        <rFont val="BFU Suisse"/>
        <family val="2"/>
      </rPr>
      <t xml:space="preserve"> compréhensible / convaincante / suffisante.</t>
    </r>
  </si>
  <si>
    <r>
      <rPr>
        <sz val="9"/>
        <color theme="1"/>
        <rFont val="BFU Suisse"/>
        <family val="2"/>
      </rPr>
      <t>x</t>
    </r>
  </si>
  <si>
    <r>
      <rPr>
        <sz val="9"/>
        <color theme="1"/>
        <rFont val="BFU Suisse"/>
        <family val="2"/>
      </rPr>
      <t>x</t>
    </r>
  </si>
  <si>
    <r>
      <rPr>
        <sz val="9"/>
        <color theme="1"/>
        <rFont val="BFU Suisse"/>
        <family val="2"/>
      </rPr>
      <t>La description est</t>
    </r>
    <r>
      <rPr>
        <sz val="9"/>
        <color theme="4"/>
        <rFont val="BFU Suisse"/>
        <family val="2"/>
      </rPr>
      <t xml:space="preserve"> compréhensible / convaincante / suffisante.</t>
    </r>
  </si>
  <si>
    <r>
      <rPr>
        <sz val="9"/>
        <color theme="1"/>
        <rFont val="BFU Suisse"/>
        <family val="2"/>
      </rPr>
      <t>x</t>
    </r>
  </si>
  <si>
    <r>
      <rPr>
        <sz val="9"/>
        <color theme="1"/>
        <rFont val="BFU Suisse"/>
        <family val="2"/>
      </rPr>
      <t>x</t>
    </r>
  </si>
  <si>
    <r>
      <rPr>
        <sz val="9"/>
        <color theme="1"/>
        <rFont val="BFU Suisse"/>
        <family val="2"/>
      </rPr>
      <t>La description est</t>
    </r>
    <r>
      <rPr>
        <sz val="9"/>
        <color theme="4"/>
        <rFont val="BFU Suisse"/>
        <family val="2"/>
      </rPr>
      <t xml:space="preserve"> compréhensible / convaincante / suffisante.</t>
    </r>
  </si>
  <si>
    <r>
      <rPr>
        <sz val="9"/>
        <color theme="1"/>
        <rFont val="BFU Suisse"/>
        <family val="2"/>
      </rPr>
      <t>x</t>
    </r>
  </si>
  <si>
    <r>
      <rPr>
        <i/>
        <sz val="9"/>
        <color theme="4"/>
        <rFont val="BFU Suisse"/>
        <family val="2"/>
      </rPr>
      <t>4.6.1</t>
    </r>
  </si>
  <si>
    <r>
      <rPr>
        <sz val="9"/>
        <color theme="1"/>
        <rFont val="BFU Suisse"/>
        <family val="2"/>
      </rPr>
      <t>x</t>
    </r>
  </si>
  <si>
    <r>
      <rPr>
        <sz val="9"/>
        <color theme="1"/>
        <rFont val="BFU Suisse"/>
        <family val="2"/>
      </rPr>
      <t>x</t>
    </r>
  </si>
  <si>
    <r>
      <rPr>
        <i/>
        <sz val="9"/>
        <color theme="4"/>
        <rFont val="BFU Suisse"/>
        <family val="2"/>
      </rPr>
      <t>4.6.2</t>
    </r>
  </si>
  <si>
    <r>
      <rPr>
        <sz val="9"/>
        <color theme="1"/>
        <rFont val="BFU Suisse"/>
        <family val="2"/>
      </rPr>
      <t>x</t>
    </r>
  </si>
  <si>
    <r>
      <rPr>
        <sz val="9"/>
        <color theme="1"/>
        <rFont val="BFU Suisse"/>
        <family val="2"/>
      </rPr>
      <t xml:space="preserve">La description est </t>
    </r>
    <r>
      <rPr>
        <sz val="9"/>
        <color theme="4"/>
        <rFont val="BFU Suisse"/>
        <family val="2"/>
      </rPr>
      <t>compréhensible / convaincante / suffisante.</t>
    </r>
  </si>
  <si>
    <r>
      <rPr>
        <sz val="9"/>
        <color theme="1"/>
        <rFont val="BFU Suisse"/>
        <family val="2"/>
      </rPr>
      <t>x</t>
    </r>
  </si>
  <si>
    <r>
      <rPr>
        <i/>
        <sz val="9"/>
        <color theme="4"/>
        <rFont val="BFU Suisse"/>
        <family val="2"/>
      </rPr>
      <t>4.6.3</t>
    </r>
  </si>
  <si>
    <r>
      <rPr>
        <sz val="9"/>
        <color theme="1"/>
        <rFont val="BFU Suisse"/>
        <family val="2"/>
      </rPr>
      <t>x</t>
    </r>
  </si>
  <si>
    <r>
      <rPr>
        <sz val="9"/>
        <color theme="1"/>
        <rFont val="BFU Suisse"/>
        <family val="2"/>
      </rPr>
      <t xml:space="preserve">La description est </t>
    </r>
    <r>
      <rPr>
        <sz val="9"/>
        <color theme="4"/>
        <rFont val="BFU Suisse"/>
        <family val="2"/>
      </rPr>
      <t>compréhensible / convaincante / suffisante.</t>
    </r>
  </si>
  <si>
    <r>
      <rPr>
        <sz val="9"/>
        <color theme="1"/>
        <rFont val="BFU Suisse"/>
        <family val="2"/>
      </rPr>
      <t>x</t>
    </r>
  </si>
  <si>
    <r>
      <rPr>
        <i/>
        <sz val="9"/>
        <color theme="4"/>
        <rFont val="BFU Suisse"/>
        <family val="2"/>
      </rPr>
      <t>4.6.4</t>
    </r>
  </si>
  <si>
    <r>
      <rPr>
        <sz val="9"/>
        <color theme="1"/>
        <rFont val="BFU Suisse"/>
        <family val="2"/>
      </rPr>
      <t>x</t>
    </r>
  </si>
  <si>
    <r>
      <rPr>
        <sz val="9"/>
        <color theme="1"/>
        <rFont val="BFU Suisse"/>
        <family val="2"/>
      </rPr>
      <t xml:space="preserve">La description est </t>
    </r>
    <r>
      <rPr>
        <sz val="9"/>
        <color theme="4"/>
        <rFont val="BFU Suisse"/>
        <family val="2"/>
      </rPr>
      <t>compréhensible / convaincante / suffisante.</t>
    </r>
  </si>
  <si>
    <r>
      <rPr>
        <sz val="9"/>
        <color theme="1"/>
        <rFont val="BFU Suisse"/>
        <family val="2"/>
      </rPr>
      <t>x</t>
    </r>
  </si>
  <si>
    <r>
      <rPr>
        <i/>
        <sz val="9"/>
        <color theme="4"/>
        <rFont val="BFU Suisse"/>
        <family val="2"/>
      </rPr>
      <t>4.6.5</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</si>
  <si>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</si>
  <si>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</si>
  <si>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</si>
  <si>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4.6.6</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</si>
  <si>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</si>
  <si>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</si>
  <si>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</si>
  <si>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4.6.7</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</si>
  <si>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</si>
  <si>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</si>
  <si>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</si>
  <si>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4.6.8</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</si>
  <si>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</si>
  <si>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</si>
  <si>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</si>
  <si>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4.6.9</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</si>
  <si>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</si>
  <si>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</si>
  <si>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</si>
  <si>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4.6.10</t>
    </r>
  </si>
  <si>
    <r>
      <rPr>
        <sz val="9"/>
        <color theme="1"/>
        <rFont val="BFU Suisse"/>
        <family val="2"/>
      </rPr>
      <t>x</t>
    </r>
  </si>
  <si>
    <r>
      <rPr>
        <sz val="9"/>
        <color theme="1"/>
        <rFont val="BFU Suisse"/>
        <family val="2"/>
      </rPr>
      <t>Art. 38 al. 4 OCAut</t>
    </r>
    <r>
      <rPr>
        <sz val="9"/>
        <color theme="1"/>
        <rFont val="BFU Suisse"/>
        <family val="2"/>
      </rPr>
      <t xml:space="preserve">
</t>
    </r>
    <r>
      <rPr>
        <sz val="9"/>
        <color theme="1"/>
        <rFont val="BFU Suisse"/>
        <family val="2"/>
      </rPr>
      <t>Art. 3a al. 1 et 4 OCR</t>
    </r>
    <r>
      <rPr>
        <sz val="9"/>
        <color theme="1"/>
        <rFont val="BFU Suisse"/>
        <family val="2"/>
      </rPr>
      <t xml:space="preserve">
</t>
    </r>
    <r>
      <rPr>
        <sz val="9"/>
        <color theme="1"/>
        <rFont val="BFU Suisse"/>
        <family val="2"/>
      </rPr>
      <t>Art. 57 al. 5 LCR</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</si>
  <si>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</si>
  <si>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</si>
  <si>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4.6.11</t>
    </r>
  </si>
  <si>
    <r>
      <rPr>
        <sz val="9"/>
        <color theme="1"/>
        <rFont val="BFU Suisse"/>
        <family val="2"/>
      </rPr>
      <t>x</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</si>
  <si>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</si>
  <si>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</si>
  <si>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4.6.12</t>
    </r>
  </si>
  <si>
    <r>
      <rPr>
        <sz val="9"/>
        <color theme="1"/>
        <rFont val="BFU Suisse"/>
        <family val="2"/>
      </rPr>
      <t>x</t>
    </r>
  </si>
  <si>
    <r>
      <rPr>
        <sz val="9"/>
        <color theme="1"/>
        <rFont val="BFU Suisse"/>
        <family val="2"/>
      </rPr>
      <t>Art. 38 al. 4 OCAut</t>
    </r>
    <r>
      <rPr>
        <sz val="9"/>
        <color theme="1"/>
        <rFont val="BFU Suisse"/>
        <family val="2"/>
      </rPr>
      <t xml:space="preserve">
</t>
    </r>
    <r>
      <rPr>
        <sz val="9"/>
        <color theme="1"/>
        <rFont val="BFU Suisse"/>
        <family val="2"/>
      </rPr>
      <t>Art. 21 OCR</t>
    </r>
    <r>
      <rPr>
        <sz val="9"/>
        <color theme="1"/>
        <rFont val="BFU Suisse"/>
        <family val="2"/>
      </rPr>
      <t xml:space="preserve">
</t>
    </r>
    <r>
      <rPr>
        <sz val="9"/>
        <color theme="1"/>
        <rFont val="BFU Suisse"/>
        <family val="2"/>
      </rPr>
      <t>Art. 37 al. 2 LCR</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</si>
  <si>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</si>
  <si>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</si>
  <si>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i/>
        <sz val="9"/>
        <color theme="4"/>
        <rFont val="BFU Suisse"/>
        <family val="2"/>
      </rPr>
      <t>4.6.13</t>
    </r>
  </si>
  <si>
    <r>
      <rPr>
        <sz val="9"/>
        <color theme="1"/>
        <rFont val="BFU Suisse"/>
        <family val="2"/>
      </rPr>
      <t>x</t>
    </r>
  </si>
  <si>
    <r>
      <rPr>
        <sz val="9"/>
        <color theme="1"/>
        <rFont val="BFU Suisse"/>
        <family val="2"/>
      </rPr>
      <t>Art. 38 al. 4 OCAut</t>
    </r>
    <r>
      <rPr>
        <sz val="9"/>
        <color theme="1"/>
        <rFont val="BFU Suisse"/>
        <family val="2"/>
      </rPr>
      <t xml:space="preserve">
</t>
    </r>
    <r>
      <rPr>
        <sz val="9"/>
        <color theme="1"/>
        <rFont val="BFU Suisse"/>
        <family val="2"/>
      </rPr>
      <t>Art. 60 OCR</t>
    </r>
    <r>
      <rPr>
        <sz val="9"/>
        <color theme="1"/>
        <rFont val="BFU Suisse"/>
        <family val="2"/>
      </rPr>
      <t xml:space="preserve">
</t>
    </r>
    <r>
      <rPr>
        <sz val="9"/>
        <color theme="1"/>
        <rFont val="BFU Suisse"/>
        <family val="2"/>
      </rPr>
      <t>Art. 30 al. 1 LCR</t>
    </r>
  </si>
  <si>
    <r>
      <rPr>
        <sz val="9"/>
        <color theme="1"/>
        <rFont val="BFU Suisse"/>
        <family val="2"/>
      </rPr>
      <t xml:space="preserve">Les descriptions sont </t>
    </r>
    <r>
      <rPr>
        <sz val="9"/>
        <color theme="4"/>
        <rFont val="BFU Suisse"/>
        <family val="2"/>
      </rPr>
      <t>compréhensibles / convaincantes / suffisantes.</t>
    </r>
  </si>
  <si>
    <r>
      <rPr>
        <sz val="9"/>
        <color theme="1"/>
        <rFont val="BFU Suisse"/>
        <family val="2"/>
      </rPr>
      <t>x</t>
    </r>
  </si>
  <si>
    <r>
      <rPr>
        <b/>
        <sz val="12"/>
        <color theme="0"/>
        <rFont val="BFU Suisse"/>
        <family val="2"/>
      </rPr>
      <t>Exigences</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</si>
  <si>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</si>
  <si>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</si>
  <si>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</si>
  <si>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</si>
  <si>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</si>
  <si>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</si>
  <si>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</si>
  <si>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</si>
  <si>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</si>
  <si>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</si>
  <si>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</si>
  <si>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 xml:space="preserve">La description est </t>
    </r>
    <r>
      <rPr>
        <sz val="9"/>
        <color theme="4"/>
        <rFont val="BFU Suisse"/>
        <family val="2"/>
      </rPr>
      <t>compréhensible / convaincante / suffisante.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</si>
  <si>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</si>
  <si>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</si>
  <si>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</si>
  <si>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</si>
  <si>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b/>
        <sz val="12"/>
        <color theme="1"/>
        <rFont val="BFU Suisse"/>
        <family val="2"/>
      </rPr>
      <t>6 - Conditions d’utilisation inhérentes à la construction spécifiques au véhicule</t>
    </r>
  </si>
  <si>
    <r>
      <rPr>
        <b/>
        <sz val="12"/>
        <color theme="0"/>
        <rFont val="BFU Suisse"/>
        <family val="2"/>
      </rPr>
      <t>Évaluation</t>
    </r>
  </si>
  <si>
    <r>
      <rPr>
        <b/>
        <sz val="12"/>
        <color theme="0"/>
        <rFont val="BFU Suisse"/>
        <family val="2"/>
      </rPr>
      <t xml:space="preserve">Remarque </t>
    </r>
  </si>
  <si>
    <r>
      <rPr>
        <b/>
        <sz val="12"/>
        <color theme="0"/>
        <rFont val="BFU Suisse"/>
        <family val="2"/>
      </rPr>
      <t>Article de référence</t>
    </r>
  </si>
  <si>
    <r>
      <rPr>
        <b/>
        <sz val="9"/>
        <color theme="1"/>
        <rFont val="BFU Suisse"/>
        <family val="2"/>
      </rPr>
      <t xml:space="preserve">Oui </t>
    </r>
  </si>
  <si>
    <r>
      <rPr>
        <b/>
        <sz val="9"/>
        <color theme="1"/>
        <rFont val="BFU Suisse"/>
        <family val="2"/>
      </rPr>
      <t>Non</t>
    </r>
  </si>
  <si>
    <r>
      <rPr>
        <b/>
        <sz val="9"/>
        <color theme="1"/>
        <rFont val="BFU Suisse"/>
        <family val="2"/>
      </rPr>
      <t>En partie</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</si>
  <si>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</si>
  <si>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</si>
  <si>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</si>
  <si>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</si>
  <si>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</si>
  <si>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</si>
  <si>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rPr>
        <sz val="9"/>
        <color theme="1"/>
        <rFont val="BFU Suisse"/>
        <family val="2"/>
      </rPr>
      <t>x</t>
    </r>
  </si>
  <si>
    <r>
      <t xml:space="preserve">Schritt 2: Beurteilung der Streckeneignung
</t>
    </r>
    <r>
      <rPr>
        <sz val="11"/>
        <color theme="1"/>
        <rFont val="BFU Suisse"/>
        <family val="2"/>
      </rPr>
      <t>(nach Art. 43 Abs. 3 Buchst. d-g und Art. 45 Abs. 1 Buchst. d-f)</t>
    </r>
  </si>
  <si>
    <r>
      <rPr>
        <b/>
        <sz val="14"/>
        <color theme="0"/>
        <rFont val="BFU Suisse"/>
        <family val="2"/>
      </rPr>
      <t>Segmentation et caractérisation</t>
    </r>
  </si>
  <si>
    <r>
      <rPr>
        <b/>
        <sz val="26"/>
        <color theme="0"/>
        <rFont val="BFU Suisse"/>
        <family val="2"/>
      </rPr>
      <t xml:space="preserve">Résultat final </t>
    </r>
    <r>
      <rPr>
        <b/>
        <sz val="26"/>
        <color theme="0"/>
        <rFont val="BFU Suisse"/>
        <family val="2"/>
      </rPr>
      <t xml:space="preserve">
</t>
    </r>
    <r>
      <rPr>
        <sz val="14"/>
        <color theme="0"/>
        <rFont val="BFU Suisse"/>
        <family val="2"/>
      </rPr>
      <t xml:space="preserve"> </t>
    </r>
    <r>
      <rPr>
        <b/>
        <sz val="14"/>
        <color theme="0"/>
        <rFont val="BFU Suisse"/>
        <family val="2"/>
      </rPr>
      <t>Niveau d’exigence</t>
    </r>
    <r>
      <rPr>
        <sz val="14"/>
        <color theme="0"/>
        <rFont val="BFU Suisse"/>
        <family val="2"/>
      </rPr>
      <t xml:space="preserve"> </t>
    </r>
    <r>
      <rPr>
        <sz val="14"/>
        <color theme="0"/>
        <rFont val="BFU Suisse"/>
        <family val="2"/>
      </rPr>
      <t xml:space="preserve">
</t>
    </r>
    <r>
      <rPr>
        <i/>
        <sz val="14"/>
        <color theme="0"/>
        <rFont val="BFU Suisse"/>
        <family val="2"/>
      </rPr>
      <t>avec</t>
    </r>
    <r>
      <rPr>
        <sz val="14"/>
        <color theme="0"/>
        <rFont val="BFU Suisse"/>
        <family val="2"/>
      </rPr>
      <t xml:space="preserve"> endroits particulièrement complexes</t>
    </r>
  </si>
  <si>
    <r>
      <rPr>
        <b/>
        <sz val="12"/>
        <color theme="0"/>
        <rFont val="BFU Suisse"/>
        <family val="2"/>
      </rPr>
      <t>En général</t>
    </r>
  </si>
  <si>
    <r>
      <rPr>
        <b/>
        <sz val="12"/>
        <color theme="0"/>
        <rFont val="BFU Suisse"/>
        <family val="2"/>
      </rPr>
      <t>Caractéristiques</t>
    </r>
  </si>
  <si>
    <r>
      <rPr>
        <b/>
        <sz val="12"/>
        <color theme="0"/>
        <rFont val="BFU Suisse"/>
        <family val="2"/>
      </rPr>
      <t>Lacunes</t>
    </r>
  </si>
  <si>
    <r>
      <rPr>
        <b/>
        <sz val="12"/>
        <color theme="4" tint="-0.499984740745262"/>
        <rFont val="BFU Suisse"/>
        <family val="2"/>
      </rPr>
      <t>UUID (référencement géométrique)</t>
    </r>
  </si>
  <si>
    <r>
      <rPr>
        <b/>
        <sz val="12"/>
        <color theme="4" tint="-0.499984740745262"/>
        <rFont val="BFU Suisse"/>
        <family val="2"/>
      </rPr>
      <t>Giratoire</t>
    </r>
  </si>
  <si>
    <r>
      <rPr>
        <b/>
        <sz val="12"/>
        <color theme="4" tint="-0.499984740745262"/>
        <rFont val="BFU Suisse"/>
        <family val="2"/>
      </rPr>
      <t>Infrastructure cyclable séparée</t>
    </r>
  </si>
  <si>
    <r>
      <rPr>
        <b/>
        <sz val="12"/>
        <color theme="4" tint="-0.499984740745262"/>
        <rFont val="BFU Suisse"/>
        <family val="2"/>
      </rPr>
      <t>Guidage</t>
    </r>
  </si>
  <si>
    <r>
      <rPr>
        <b/>
        <sz val="12"/>
        <color theme="4" tint="-0.499984740745262"/>
        <rFont val="BFU Suisse"/>
        <family val="2"/>
      </rPr>
      <t>Transports publics</t>
    </r>
  </si>
  <si>
    <r>
      <rPr>
        <b/>
        <sz val="12"/>
        <color theme="4" tint="-0.499984740745262"/>
        <rFont val="BFU Suisse"/>
        <family val="2"/>
      </rPr>
      <t>Trottoir</t>
    </r>
  </si>
  <si>
    <r>
      <rPr>
        <b/>
        <sz val="12"/>
        <color theme="4" tint="-0.499984740745262"/>
        <rFont val="BFU Suisse"/>
        <family val="2"/>
      </rPr>
      <t>Infrastructure cyclable</t>
    </r>
  </si>
  <si>
    <r>
      <rPr>
        <b/>
        <sz val="12"/>
        <color theme="4" tint="-0.499984740745262"/>
        <rFont val="BFU Suisse"/>
        <family val="2"/>
      </rPr>
      <t xml:space="preserve">Méthode </t>
    </r>
    <r>
      <rPr>
        <b/>
        <sz val="12"/>
        <color theme="4" tint="-0.499984740745262"/>
        <rFont val="BFU Suisse"/>
        <family val="2"/>
      </rPr>
      <t xml:space="preserve">
</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(estimation oui/non)</t>
    </r>
  </si>
  <si>
    <r>
      <rPr>
        <b/>
        <sz val="12"/>
        <color theme="4" tint="-0.499984740745262"/>
        <rFont val="BFU Suisse"/>
        <family val="2"/>
      </rPr>
      <t xml:space="preserve">Géométrie </t>
    </r>
    <r>
      <rPr>
        <b/>
        <sz val="12"/>
        <color theme="4" tint="-0.499984740745262"/>
        <rFont val="BFU Suisse"/>
        <family val="2"/>
      </rPr>
      <t xml:space="preserve">
</t>
    </r>
    <r>
      <rPr>
        <sz val="12"/>
        <color theme="4" tint="-0.499984740745262"/>
        <rFont val="BFU Suisse"/>
        <family val="2"/>
      </rPr>
      <t>(oui/non)</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selon la liste</t>
    </r>
  </si>
  <si>
    <r>
      <rPr>
        <b/>
        <sz val="12"/>
        <color theme="4" tint="-0.499984740745262"/>
        <rFont val="BFU Suisse"/>
        <family val="2"/>
      </rPr>
      <t>Signalisation</t>
    </r>
    <r>
      <rPr>
        <b/>
        <sz val="12"/>
        <color theme="4" tint="-0.499984740745262"/>
        <rFont val="BFU Suisse"/>
        <family val="2"/>
      </rPr>
      <t xml:space="preserve">
</t>
    </r>
    <r>
      <rPr>
        <sz val="12"/>
        <color theme="4" tint="-0.499984740745262"/>
        <rFont val="BFU Suisse"/>
        <family val="2"/>
      </rPr>
      <t>(oui/non)</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 xml:space="preserve">selon la liste </t>
    </r>
  </si>
  <si>
    <r>
      <rPr>
        <b/>
        <sz val="12"/>
        <color theme="2"/>
        <rFont val="BFU Suisse"/>
        <family val="2"/>
      </rPr>
      <t>Part des accidents de la catégorie «tué·es et de blessé·es graves» parmi tous les accidents [%]</t>
    </r>
    <r>
      <rPr>
        <b/>
        <sz val="12"/>
        <color theme="2"/>
        <rFont val="BFU Suisse"/>
        <family val="2"/>
      </rPr>
      <t xml:space="preserve">
</t>
    </r>
    <r>
      <rPr>
        <b/>
        <i/>
        <sz val="12"/>
        <color theme="2"/>
        <rFont val="BFU Suisse"/>
        <family val="2"/>
      </rPr>
      <t xml:space="preserve">
</t>
    </r>
    <r>
      <rPr>
        <b/>
        <i/>
        <sz val="12"/>
        <color theme="2"/>
        <rFont val="BFU Suisse"/>
        <family val="2"/>
      </rPr>
      <t>Valeur limite</t>
    </r>
  </si>
  <si>
    <r>
      <rPr>
        <b/>
        <sz val="12"/>
        <color theme="2"/>
        <rFont val="BFU Suisse"/>
        <family val="2"/>
      </rPr>
      <t>TJM</t>
    </r>
    <r>
      <rPr>
        <b/>
        <sz val="12"/>
        <color theme="2"/>
        <rFont val="BFU Suisse"/>
        <family val="2"/>
      </rPr>
      <t xml:space="preserve">
</t>
    </r>
    <r>
      <rPr>
        <b/>
        <sz val="12"/>
        <color theme="2"/>
        <rFont val="BFU Suisse"/>
        <family val="2"/>
      </rPr>
      <t xml:space="preserve">
</t>
    </r>
    <r>
      <rPr>
        <b/>
        <sz val="12"/>
        <color theme="2"/>
        <rFont val="BFU Suisse"/>
        <family val="2"/>
      </rPr>
      <t xml:space="preserve"> </t>
    </r>
    <r>
      <rPr>
        <b/>
        <i/>
        <sz val="12"/>
        <color theme="2"/>
        <rFont val="BFU Suisse"/>
        <family val="2"/>
      </rPr>
      <t>Valeur limite</t>
    </r>
  </si>
  <si>
    <t>&gt;3</t>
  </si>
  <si>
    <t>-</t>
  </si>
  <si>
    <t>3</t>
  </si>
  <si>
    <t>Tunnel</t>
  </si>
  <si>
    <r>
      <rPr>
        <b/>
        <sz val="24"/>
        <color theme="1"/>
        <rFont val="BFU Suisse"/>
        <family val="2"/>
      </rPr>
      <t>Évaluation de la sécurité routière</t>
    </r>
  </si>
  <si>
    <r>
      <rPr>
        <b/>
        <sz val="24"/>
        <color theme="1"/>
        <rFont val="BFU Suisse"/>
        <family val="2"/>
      </rPr>
      <t>Évaluation du flux de trafic</t>
    </r>
  </si>
  <si>
    <r>
      <rPr>
        <b/>
        <sz val="10"/>
        <color theme="0"/>
        <rFont val="BFU Suisse"/>
        <family val="2"/>
      </rPr>
      <t>Localisation</t>
    </r>
  </si>
  <si>
    <r>
      <rPr>
        <b/>
        <sz val="10"/>
        <color theme="0"/>
        <rFont val="BFU Suisse"/>
        <family val="2"/>
      </rPr>
      <t>Giratoire</t>
    </r>
  </si>
  <si>
    <r>
      <rPr>
        <b/>
        <sz val="10"/>
        <color theme="0"/>
        <rFont val="BFU Suisse"/>
        <family val="2"/>
      </rPr>
      <t>Infrastructure cyclable séparée</t>
    </r>
  </si>
  <si>
    <r>
      <rPr>
        <b/>
        <sz val="10"/>
        <color theme="0"/>
        <rFont val="BFU Suisse"/>
        <family val="2"/>
      </rPr>
      <t>coeffAcc</t>
    </r>
  </si>
  <si>
    <r>
      <rPr>
        <b/>
        <sz val="10"/>
        <color theme="0"/>
        <rFont val="BFU Suisse"/>
        <family val="2"/>
      </rPr>
      <t>coeffTJM</t>
    </r>
  </si>
  <si>
    <r>
      <rPr>
        <b/>
        <sz val="10"/>
        <color theme="0"/>
        <rFont val="BFU Suisse"/>
        <family val="2"/>
      </rPr>
      <t>Nombre d’accidents (calculé TJM_critique)</t>
    </r>
  </si>
  <si>
    <r>
      <rPr>
        <b/>
        <sz val="10"/>
        <color theme="1"/>
        <rFont val="BFU Suisse"/>
        <family val="2"/>
      </rPr>
      <t>Valeur limite du nombre d’accidents</t>
    </r>
  </si>
  <si>
    <r>
      <rPr>
        <b/>
        <sz val="10"/>
        <color theme="1"/>
        <rFont val="BFU Suisse"/>
        <family val="2"/>
      </rPr>
      <t>Valeur limite de la gravité des accidents</t>
    </r>
  </si>
  <si>
    <r>
      <rPr>
        <b/>
        <sz val="10"/>
        <color theme="0"/>
        <rFont val="BFU Suisse"/>
        <family val="2"/>
      </rPr>
      <t>Localisation</t>
    </r>
  </si>
  <si>
    <r>
      <rPr>
        <b/>
        <sz val="10"/>
        <color theme="0"/>
        <rFont val="BFU Suisse"/>
        <family val="2"/>
      </rPr>
      <t>Giratoire</t>
    </r>
  </si>
  <si>
    <r>
      <rPr>
        <b/>
        <sz val="10"/>
        <color theme="0"/>
        <rFont val="BFU Suisse"/>
        <family val="2"/>
      </rPr>
      <t>Accès aux carrefours</t>
    </r>
  </si>
  <si>
    <r>
      <rPr>
        <b/>
        <sz val="10"/>
        <color theme="0"/>
        <rFont val="BFU Suisse"/>
        <family val="2"/>
      </rPr>
      <t>Infrastructure cyclable séparée</t>
    </r>
  </si>
  <si>
    <r>
      <rPr>
        <b/>
        <sz val="10"/>
        <color theme="1"/>
        <rFont val="BFU Suisse"/>
        <family val="2"/>
      </rPr>
      <t>TJM (critique)</t>
    </r>
  </si>
  <si>
    <t>&lt;=</t>
  </si>
  <si>
    <t>+</t>
  </si>
  <si>
    <t>&gt;</t>
  </si>
  <si>
    <t>o</t>
  </si>
  <si>
    <r>
      <rPr>
        <b/>
        <sz val="10"/>
        <color theme="0"/>
        <rFont val="BFU Suisse"/>
        <family val="2"/>
      </rPr>
      <t>Localisation</t>
    </r>
  </si>
  <si>
    <r>
      <rPr>
        <b/>
        <sz val="10"/>
        <color theme="0"/>
        <rFont val="BFU Suisse"/>
        <family val="2"/>
      </rPr>
      <t>Transports publics</t>
    </r>
  </si>
  <si>
    <r>
      <rPr>
        <b/>
        <sz val="10"/>
        <color theme="0"/>
        <rFont val="BFU Suisse"/>
        <family val="2"/>
      </rPr>
      <t xml:space="preserve">Usage </t>
    </r>
    <r>
      <rPr>
        <b/>
        <sz val="10"/>
        <color theme="0"/>
        <rFont val="BFU Suisse"/>
        <family val="2"/>
      </rPr>
      <t xml:space="preserve">
</t>
    </r>
    <r>
      <rPr>
        <b/>
        <sz val="10"/>
        <color theme="0"/>
        <rFont val="BFU Suisse"/>
        <family val="2"/>
      </rPr>
      <t>commercial</t>
    </r>
  </si>
  <si>
    <r>
      <rPr>
        <b/>
        <sz val="10"/>
        <color theme="0"/>
        <rFont val="BFU Suisse"/>
        <family val="2"/>
      </rPr>
      <t>Trottoir</t>
    </r>
  </si>
  <si>
    <r>
      <rPr>
        <b/>
        <sz val="10"/>
        <color theme="0"/>
        <rFont val="BFU Suisse"/>
        <family val="2"/>
      </rPr>
      <t>Infrastructure cyclable</t>
    </r>
  </si>
  <si>
    <r>
      <rPr>
        <b/>
        <sz val="10"/>
        <color theme="0"/>
        <rFont val="BFU Suisse"/>
        <family val="2"/>
      </rPr>
      <t>coeffAcc</t>
    </r>
  </si>
  <si>
    <r>
      <rPr>
        <b/>
        <sz val="10"/>
        <color theme="0"/>
        <rFont val="BFU Suisse"/>
        <family val="2"/>
      </rPr>
      <t>coeffTJM</t>
    </r>
  </si>
  <si>
    <r>
      <rPr>
        <b/>
        <sz val="10"/>
        <color theme="1"/>
        <rFont val="BFU Suisse"/>
        <family val="2"/>
      </rPr>
      <t>Valeur limite du nombre d’accidents</t>
    </r>
  </si>
  <si>
    <r>
      <rPr>
        <b/>
        <sz val="10"/>
        <color theme="1"/>
        <rFont val="BFU Suisse"/>
        <family val="2"/>
      </rPr>
      <t>Valeur limite de la gravité des accidents</t>
    </r>
  </si>
  <si>
    <r>
      <rPr>
        <b/>
        <sz val="10"/>
        <color theme="0"/>
        <rFont val="BFU Suisse"/>
        <family val="2"/>
      </rPr>
      <t>Localisation</t>
    </r>
  </si>
  <si>
    <r>
      <rPr>
        <b/>
        <sz val="10"/>
        <color theme="0"/>
        <rFont val="BFU Suisse"/>
        <family val="2"/>
      </rPr>
      <t>Catégorie de route</t>
    </r>
  </si>
  <si>
    <r>
      <rPr>
        <b/>
        <sz val="10"/>
        <color theme="0"/>
        <rFont val="BFU Suisse"/>
        <family val="2"/>
      </rPr>
      <t>Transports publics</t>
    </r>
  </si>
  <si>
    <r>
      <rPr>
        <b/>
        <sz val="10"/>
        <color theme="0"/>
        <rFont val="BFU Suisse"/>
        <family val="2"/>
      </rPr>
      <t>Usage commercial</t>
    </r>
  </si>
  <si>
    <r>
      <rPr>
        <b/>
        <sz val="10"/>
        <color theme="0"/>
        <rFont val="BFU Suisse"/>
        <family val="2"/>
      </rPr>
      <t>Trottoir</t>
    </r>
  </si>
  <si>
    <r>
      <rPr>
        <b/>
        <sz val="10"/>
        <color theme="0"/>
        <rFont val="BFU Suisse"/>
        <family val="2"/>
      </rPr>
      <t>Infrastructure cyclable</t>
    </r>
  </si>
  <si>
    <r>
      <rPr>
        <b/>
        <sz val="10"/>
        <rFont val="BFU Suisse"/>
        <family val="2"/>
      </rPr>
      <t>TJM (critique)</t>
    </r>
  </si>
  <si>
    <r>
      <rPr>
        <b/>
        <sz val="10"/>
        <color theme="1"/>
        <rFont val="BFU Suisse"/>
        <family val="2"/>
      </rPr>
      <t>TJM (classification)</t>
    </r>
  </si>
  <si>
    <r>
      <rPr>
        <b/>
        <sz val="10"/>
        <color theme="0"/>
        <rFont val="BFU Suisse"/>
        <family val="2"/>
      </rPr>
      <t>Localisation</t>
    </r>
  </si>
  <si>
    <r>
      <rPr>
        <b/>
        <sz val="10"/>
        <color theme="0"/>
        <rFont val="BFU Suisse"/>
        <family val="2"/>
      </rPr>
      <t>Guidage</t>
    </r>
  </si>
  <si>
    <r>
      <rPr>
        <b/>
        <sz val="10"/>
        <color theme="0"/>
        <rFont val="BFU Suisse"/>
        <family val="2"/>
      </rPr>
      <t>Transports publics</t>
    </r>
  </si>
  <si>
    <r>
      <rPr>
        <b/>
        <sz val="10"/>
        <color theme="0"/>
        <rFont val="BFU Suisse"/>
        <family val="2"/>
      </rPr>
      <t>Infrastructure cyclable</t>
    </r>
  </si>
  <si>
    <r>
      <rPr>
        <b/>
        <sz val="10"/>
        <color theme="0"/>
        <rFont val="BFU Suisse"/>
        <family val="2"/>
      </rPr>
      <t>coeffAcc</t>
    </r>
  </si>
  <si>
    <r>
      <rPr>
        <b/>
        <sz val="10"/>
        <color theme="0"/>
        <rFont val="BFU Suisse"/>
        <family val="2"/>
      </rPr>
      <t>coeffTJM</t>
    </r>
  </si>
  <si>
    <r>
      <rPr>
        <b/>
        <sz val="10"/>
        <color theme="1"/>
        <rFont val="BFU Suisse"/>
        <family val="2"/>
      </rPr>
      <t>Valeur limite du nombre d’accidents</t>
    </r>
  </si>
  <si>
    <r>
      <rPr>
        <b/>
        <sz val="10"/>
        <color theme="1"/>
        <rFont val="BFU Suisse"/>
        <family val="2"/>
      </rPr>
      <t>Valeur limite de la gravité des accidents</t>
    </r>
  </si>
  <si>
    <r>
      <rPr>
        <b/>
        <sz val="10"/>
        <color theme="0"/>
        <rFont val="BFU Suisse"/>
        <family val="2"/>
      </rPr>
      <t>Localisation</t>
    </r>
  </si>
  <si>
    <r>
      <rPr>
        <b/>
        <sz val="10"/>
        <color theme="0"/>
        <rFont val="BFU Suisse"/>
        <family val="2"/>
      </rPr>
      <t>Catégorie de route</t>
    </r>
  </si>
  <si>
    <r>
      <rPr>
        <b/>
        <sz val="10"/>
        <color theme="0"/>
        <rFont val="BFU Suisse"/>
        <family val="2"/>
      </rPr>
      <t>Guidage</t>
    </r>
  </si>
  <si>
    <r>
      <rPr>
        <b/>
        <sz val="10"/>
        <color theme="0"/>
        <rFont val="BFU Suisse"/>
        <family val="2"/>
      </rPr>
      <t>Transports publics</t>
    </r>
  </si>
  <si>
    <r>
      <rPr>
        <b/>
        <sz val="10"/>
        <color theme="0"/>
        <rFont val="BFU Suisse"/>
        <family val="2"/>
      </rPr>
      <t>Infrastructure cyclable</t>
    </r>
  </si>
  <si>
    <r>
      <rPr>
        <b/>
        <sz val="10"/>
        <rFont val="BFU Suisse"/>
        <family val="2"/>
      </rPr>
      <t>TJM (critique)</t>
    </r>
  </si>
  <si>
    <r>
      <rPr>
        <b/>
        <sz val="10"/>
        <color theme="1"/>
        <rFont val="BFU Suisse"/>
        <family val="2"/>
      </rPr>
      <t>TJM (classification)</t>
    </r>
  </si>
  <si>
    <r>
      <rPr>
        <b/>
        <sz val="10"/>
        <color theme="0"/>
        <rFont val="BFU Suisse"/>
        <family val="2"/>
      </rPr>
      <t>Localisation</t>
    </r>
  </si>
  <si>
    <r>
      <rPr>
        <b/>
        <sz val="10"/>
        <color theme="0"/>
        <rFont val="BFU Suisse"/>
        <family val="2"/>
      </rPr>
      <t>Guidage</t>
    </r>
  </si>
  <si>
    <r>
      <rPr>
        <b/>
        <sz val="10"/>
        <color theme="0"/>
        <rFont val="BFU Suisse"/>
        <family val="2"/>
      </rPr>
      <t>coeffAcc</t>
    </r>
  </si>
  <si>
    <r>
      <rPr>
        <b/>
        <sz val="10"/>
        <color theme="0"/>
        <rFont val="BFU Suisse"/>
        <family val="2"/>
      </rPr>
      <t>coeffTJM</t>
    </r>
  </si>
  <si>
    <r>
      <rPr>
        <b/>
        <sz val="10"/>
        <color theme="1"/>
        <rFont val="BFU Suisse"/>
        <family val="2"/>
      </rPr>
      <t>Valeur limite du nombre d’accidents</t>
    </r>
  </si>
  <si>
    <r>
      <rPr>
        <b/>
        <sz val="10"/>
        <color theme="1"/>
        <rFont val="BFU Suisse"/>
        <family val="2"/>
      </rPr>
      <t>Valeur limite de la gravité des accidents</t>
    </r>
  </si>
  <si>
    <r>
      <rPr>
        <b/>
        <sz val="10"/>
        <color theme="0"/>
        <rFont val="BFU Suisse"/>
        <family val="2"/>
      </rPr>
      <t>Localisation</t>
    </r>
  </si>
  <si>
    <r>
      <rPr>
        <b/>
        <sz val="10"/>
        <color theme="0"/>
        <rFont val="BFU Suisse"/>
        <family val="2"/>
      </rPr>
      <t>Catégorie de route</t>
    </r>
  </si>
  <si>
    <r>
      <rPr>
        <b/>
        <sz val="10"/>
        <color theme="0"/>
        <rFont val="BFU Suisse"/>
        <family val="2"/>
      </rPr>
      <t>Guidage</t>
    </r>
  </si>
  <si>
    <r>
      <rPr>
        <b/>
        <sz val="10"/>
        <rFont val="BFU Suisse"/>
        <family val="2"/>
      </rPr>
      <t>TJM (critique)</t>
    </r>
  </si>
  <si>
    <r>
      <rPr>
        <b/>
        <sz val="10"/>
        <color theme="1"/>
        <rFont val="BFU Suisse"/>
        <family val="2"/>
      </rPr>
      <t>TJM (classification)</t>
    </r>
  </si>
  <si>
    <r>
      <rPr>
        <sz val="9"/>
        <color theme="1"/>
        <rFont val="BFU Suisse"/>
        <family val="2"/>
      </rPr>
      <t>Carrefours en localité</t>
    </r>
  </si>
  <si>
    <r>
      <rPr>
        <sz val="9"/>
        <color theme="1"/>
        <rFont val="BFU Suisse"/>
        <family val="2"/>
      </rPr>
      <t>Carrefours hors localité</t>
    </r>
  </si>
  <si>
    <r>
      <rPr>
        <sz val="9"/>
        <color theme="1"/>
        <rFont val="BFU Suisse"/>
        <family val="2"/>
      </rPr>
      <t>Autoroutes et semi-autoroutes</t>
    </r>
  </si>
  <si>
    <r>
      <rPr>
        <sz val="9"/>
        <color theme="1"/>
        <rFont val="BFU Suisse"/>
        <family val="2"/>
      </rPr>
      <t>En général</t>
    </r>
  </si>
  <si>
    <r>
      <rPr>
        <sz val="9"/>
        <color theme="1"/>
        <rFont val="BFU Suisse"/>
        <family val="2"/>
      </rPr>
      <t>En général</t>
    </r>
  </si>
  <si>
    <r>
      <rPr>
        <sz val="9"/>
        <color theme="1"/>
        <rFont val="BFU Suisse"/>
        <family val="2"/>
      </rPr>
      <t>Route principale</t>
    </r>
  </si>
  <si>
    <r>
      <rPr>
        <sz val="9"/>
        <color theme="1"/>
        <rFont val="BFU Suisse"/>
        <family val="2"/>
      </rPr>
      <t>Route secondaire</t>
    </r>
  </si>
  <si>
    <r>
      <rPr>
        <sz val="9"/>
        <color theme="1"/>
        <rFont val="BFU Suisse"/>
        <family val="2"/>
      </rPr>
      <t>Route principale</t>
    </r>
  </si>
  <si>
    <r>
      <rPr>
        <sz val="9"/>
        <color theme="1"/>
        <rFont val="BFU Suisse"/>
        <family val="2"/>
      </rPr>
      <t>Route secondaire</t>
    </r>
  </si>
  <si>
    <r>
      <rPr>
        <sz val="9"/>
        <color theme="1"/>
        <rFont val="BFU Suisse"/>
        <family val="2"/>
      </rPr>
      <t>Autoroute</t>
    </r>
  </si>
  <si>
    <r>
      <rPr>
        <sz val="9"/>
        <color theme="1"/>
        <rFont val="BFU Suisse"/>
        <family val="2"/>
      </rPr>
      <t>Semi-autoroute</t>
    </r>
  </si>
  <si>
    <r>
      <rPr>
        <sz val="9"/>
        <color theme="1"/>
        <rFont val="BFU Suisse"/>
        <family val="2"/>
      </rPr>
      <t>Trafic giratoire</t>
    </r>
  </si>
  <si>
    <r>
      <rPr>
        <sz val="9"/>
        <color theme="1"/>
        <rFont val="BFU Suisse"/>
        <family val="2"/>
      </rPr>
      <t>Tunnel</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</si>
  <si>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</si>
  <si>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</si>
  <si>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</si>
  <si>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</si>
  <si>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</si>
  <si>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</si>
  <si>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</si>
  <si>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</si>
  <si>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Carrefours en localité</t>
    </r>
  </si>
  <si>
    <r>
      <rPr>
        <sz val="9"/>
        <color theme="1"/>
        <rFont val="BFU Suisse"/>
        <family val="2"/>
      </rPr>
      <t>Carrefours hors localité</t>
    </r>
  </si>
  <si>
    <r>
      <rPr>
        <sz val="9"/>
        <color theme="1"/>
        <rFont val="BFU Suisse"/>
        <family val="2"/>
      </rPr>
      <t>Autoroutes et semi-autoroutes</t>
    </r>
  </si>
  <si>
    <r>
      <rPr>
        <sz val="9"/>
        <color theme="1"/>
        <rFont val="BFU Suisse"/>
        <family val="2"/>
      </rPr>
      <t>En général</t>
    </r>
  </si>
  <si>
    <r>
      <rPr>
        <sz val="9"/>
        <color theme="1"/>
        <rFont val="BFU Suisse"/>
        <family val="2"/>
      </rPr>
      <t>En général</t>
    </r>
  </si>
  <si>
    <r>
      <rPr>
        <sz val="9"/>
        <color theme="1"/>
        <rFont val="BFU Suisse"/>
        <family val="2"/>
      </rPr>
      <t>Route principale</t>
    </r>
  </si>
  <si>
    <r>
      <rPr>
        <sz val="9"/>
        <color theme="1"/>
        <rFont val="BFU Suisse"/>
        <family val="2"/>
      </rPr>
      <t>Route secondaire</t>
    </r>
  </si>
  <si>
    <r>
      <rPr>
        <sz val="9"/>
        <color theme="1"/>
        <rFont val="BFU Suisse"/>
        <family val="2"/>
      </rPr>
      <t>Route principale</t>
    </r>
  </si>
  <si>
    <r>
      <rPr>
        <sz val="9"/>
        <color theme="1"/>
        <rFont val="BFU Suisse"/>
        <family val="2"/>
      </rPr>
      <t>Route secondaire</t>
    </r>
  </si>
  <si>
    <r>
      <rPr>
        <sz val="9"/>
        <color theme="1"/>
        <rFont val="BFU Suisse"/>
        <family val="2"/>
      </rPr>
      <t>Autoroute</t>
    </r>
  </si>
  <si>
    <r>
      <rPr>
        <sz val="9"/>
        <color theme="1"/>
        <rFont val="BFU Suisse"/>
        <family val="2"/>
      </rPr>
      <t>Semi-autoroute</t>
    </r>
  </si>
  <si>
    <r>
      <rPr>
        <sz val="9"/>
        <color theme="1"/>
        <rFont val="BFU Suisse"/>
        <family val="2"/>
      </rPr>
      <t>Tunnel</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</si>
  <si>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</si>
  <si>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</si>
  <si>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</si>
  <si>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</si>
  <si>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</si>
  <si>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</si>
  <si>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</si>
  <si>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Valeur limite = 3</t>
    </r>
    <r>
      <rPr>
        <vertAlign val="superscript"/>
        <sz val="9"/>
        <color theme="1"/>
        <rFont val="BFU Suisse"/>
        <family val="2"/>
      </rPr>
      <t>e</t>
    </r>
    <r>
      <rPr>
        <sz val="9"/>
        <color theme="1"/>
        <rFont val="BFU Suisse"/>
        <family val="2"/>
      </rPr>
      <t xml:space="preserve"> quartile </t>
    </r>
    <r>
      <rPr>
        <sz val="9"/>
        <color theme="1"/>
        <rFont val="BFU Suisse"/>
        <family val="2"/>
      </rPr>
      <t>&gt;</t>
    </r>
  </si>
  <si>
    <r>
      <rPr>
        <sz val="9"/>
        <color theme="1"/>
        <rFont val="BFU Suisse"/>
        <family val="2"/>
      </rPr>
      <t>Localisation</t>
    </r>
  </si>
  <si>
    <r>
      <rPr>
        <sz val="9"/>
        <color theme="1"/>
        <rFont val="BFU Suisse"/>
        <family val="2"/>
      </rPr>
      <t>Giratoire</t>
    </r>
  </si>
  <si>
    <r>
      <rPr>
        <sz val="9"/>
        <color theme="1"/>
        <rFont val="BFU Suisse"/>
        <family val="2"/>
      </rPr>
      <t>Infrastructure cyclable séparée</t>
    </r>
  </si>
  <si>
    <r>
      <rPr>
        <sz val="9"/>
        <color theme="1"/>
        <rFont val="BFU Suisse"/>
        <family val="2"/>
      </rPr>
      <t>Guidage</t>
    </r>
  </si>
  <si>
    <r>
      <rPr>
        <sz val="9"/>
        <color theme="1"/>
        <rFont val="BFU Suisse"/>
        <family val="2"/>
      </rPr>
      <t>Transports publics</t>
    </r>
  </si>
  <si>
    <r>
      <rPr>
        <sz val="9"/>
        <color theme="1"/>
        <rFont val="BFU Suisse"/>
        <family val="2"/>
      </rPr>
      <t>Usage commercial</t>
    </r>
  </si>
  <si>
    <r>
      <rPr>
        <sz val="9"/>
        <color theme="1"/>
        <rFont val="BFU Suisse"/>
        <family val="2"/>
      </rPr>
      <t>Trottoir</t>
    </r>
  </si>
  <si>
    <r>
      <rPr>
        <sz val="9"/>
        <color theme="1"/>
        <rFont val="BFU Suisse"/>
        <family val="2"/>
      </rPr>
      <t>Infrastructure cyclable</t>
    </r>
  </si>
  <si>
    <t>Kombination</t>
  </si>
  <si>
    <t>coeffUnf</t>
  </si>
  <si>
    <t>coeffDTV</t>
  </si>
  <si>
    <t>AnteilGSV</t>
  </si>
  <si>
    <t xml:space="preserve">Grenzwert UZ </t>
  </si>
  <si>
    <t>Grenzwert GSV</t>
  </si>
  <si>
    <t>Grenzwert DTV</t>
  </si>
  <si>
    <t>innerorts</t>
  </si>
  <si>
    <t>nein</t>
  </si>
  <si>
    <t>&gt;3</t>
  </si>
  <si>
    <t>ja</t>
  </si>
  <si>
    <t>ja</t>
  </si>
  <si>
    <t>-</t>
  </si>
  <si>
    <t>-</t>
  </si>
  <si>
    <t>-</t>
  </si>
  <si>
    <t>-</t>
  </si>
  <si>
    <t>-</t>
  </si>
  <si>
    <t>-</t>
  </si>
  <si>
    <t>-</t>
  </si>
  <si>
    <t>innerorts</t>
  </si>
  <si>
    <t>nein</t>
  </si>
  <si>
    <t>&gt;3</t>
  </si>
  <si>
    <t>ja</t>
  </si>
  <si>
    <t>nein</t>
  </si>
  <si>
    <t>-</t>
  </si>
  <si>
    <t>-</t>
  </si>
  <si>
    <t>-</t>
  </si>
  <si>
    <t>-</t>
  </si>
  <si>
    <t>-</t>
  </si>
  <si>
    <t>-</t>
  </si>
  <si>
    <t>-</t>
  </si>
  <si>
    <t>innerorts</t>
  </si>
  <si>
    <t>nein</t>
  </si>
  <si>
    <t>&gt;3</t>
  </si>
  <si>
    <t>nein</t>
  </si>
  <si>
    <t>ja</t>
  </si>
  <si>
    <t>-</t>
  </si>
  <si>
    <t>-</t>
  </si>
  <si>
    <t>-</t>
  </si>
  <si>
    <t>-</t>
  </si>
  <si>
    <t>-</t>
  </si>
  <si>
    <t>-</t>
  </si>
  <si>
    <t>-</t>
  </si>
  <si>
    <t>innerorts</t>
  </si>
  <si>
    <t>nein</t>
  </si>
  <si>
    <t>&gt;3</t>
  </si>
  <si>
    <t>nein</t>
  </si>
  <si>
    <t>nein</t>
  </si>
  <si>
    <t>-</t>
  </si>
  <si>
    <t>-</t>
  </si>
  <si>
    <t>-</t>
  </si>
  <si>
    <t>-</t>
  </si>
  <si>
    <t>-</t>
  </si>
  <si>
    <t>-</t>
  </si>
  <si>
    <t>-</t>
  </si>
  <si>
    <t>innerorts</t>
  </si>
  <si>
    <t>nein</t>
  </si>
  <si>
    <t>3</t>
  </si>
  <si>
    <t>ja</t>
  </si>
  <si>
    <t>ja</t>
  </si>
  <si>
    <t>-</t>
  </si>
  <si>
    <t>-</t>
  </si>
  <si>
    <t>-</t>
  </si>
  <si>
    <t>-</t>
  </si>
  <si>
    <t>-</t>
  </si>
  <si>
    <t>-</t>
  </si>
  <si>
    <t>-</t>
  </si>
  <si>
    <t>innerorts</t>
  </si>
  <si>
    <t>nein</t>
  </si>
  <si>
    <t>3</t>
  </si>
  <si>
    <t>ja</t>
  </si>
  <si>
    <t>nein</t>
  </si>
  <si>
    <t>-</t>
  </si>
  <si>
    <t>-</t>
  </si>
  <si>
    <t>-</t>
  </si>
  <si>
    <t>-</t>
  </si>
  <si>
    <t>-</t>
  </si>
  <si>
    <t>-</t>
  </si>
  <si>
    <t>-</t>
  </si>
  <si>
    <t>innerorts</t>
  </si>
  <si>
    <t>nein</t>
  </si>
  <si>
    <t>3</t>
  </si>
  <si>
    <t>nein</t>
  </si>
  <si>
    <t>ja</t>
  </si>
  <si>
    <t>-</t>
  </si>
  <si>
    <t>-</t>
  </si>
  <si>
    <t>-</t>
  </si>
  <si>
    <t>-</t>
  </si>
  <si>
    <t>-</t>
  </si>
  <si>
    <t>-</t>
  </si>
  <si>
    <t>-</t>
  </si>
  <si>
    <t>innerorts</t>
  </si>
  <si>
    <t>nein</t>
  </si>
  <si>
    <t>3</t>
  </si>
  <si>
    <t>nein</t>
  </si>
  <si>
    <t>nein</t>
  </si>
  <si>
    <t>-</t>
  </si>
  <si>
    <t>-</t>
  </si>
  <si>
    <t>-</t>
  </si>
  <si>
    <t>-</t>
  </si>
  <si>
    <t>-</t>
  </si>
  <si>
    <t>-</t>
  </si>
  <si>
    <t>-</t>
  </si>
  <si>
    <t>innerorts</t>
  </si>
  <si>
    <t>ja</t>
  </si>
  <si>
    <t>&gt;3</t>
  </si>
  <si>
    <t>-</t>
  </si>
  <si>
    <t>ja</t>
  </si>
  <si>
    <t>-</t>
  </si>
  <si>
    <t>-</t>
  </si>
  <si>
    <t>-</t>
  </si>
  <si>
    <t>-</t>
  </si>
  <si>
    <t>-</t>
  </si>
  <si>
    <t>-</t>
  </si>
  <si>
    <t>-</t>
  </si>
  <si>
    <t>innerorts</t>
  </si>
  <si>
    <t>ja</t>
  </si>
  <si>
    <t>&gt;3</t>
  </si>
  <si>
    <t>-</t>
  </si>
  <si>
    <t>nein</t>
  </si>
  <si>
    <t>-</t>
  </si>
  <si>
    <t>-</t>
  </si>
  <si>
    <t>-</t>
  </si>
  <si>
    <t>-</t>
  </si>
  <si>
    <t>-</t>
  </si>
  <si>
    <t>-</t>
  </si>
  <si>
    <t>-</t>
  </si>
  <si>
    <t>innerorts</t>
  </si>
  <si>
    <t>ja</t>
  </si>
  <si>
    <t>3</t>
  </si>
  <si>
    <t>-</t>
  </si>
  <si>
    <t>ja</t>
  </si>
  <si>
    <t>-</t>
  </si>
  <si>
    <t>-</t>
  </si>
  <si>
    <t>-</t>
  </si>
  <si>
    <t>-</t>
  </si>
  <si>
    <t>-</t>
  </si>
  <si>
    <t>-</t>
  </si>
  <si>
    <t>-</t>
  </si>
  <si>
    <t>innerorts</t>
  </si>
  <si>
    <t>ja</t>
  </si>
  <si>
    <t>3</t>
  </si>
  <si>
    <t>-</t>
  </si>
  <si>
    <t>nein</t>
  </si>
  <si>
    <t>-</t>
  </si>
  <si>
    <t>-</t>
  </si>
  <si>
    <t>-</t>
  </si>
  <si>
    <t>-</t>
  </si>
  <si>
    <t>-</t>
  </si>
  <si>
    <t>-</t>
  </si>
  <si>
    <t>-</t>
  </si>
  <si>
    <t>ausserorts</t>
  </si>
  <si>
    <t>nein</t>
  </si>
  <si>
    <t>&gt;3</t>
  </si>
  <si>
    <t>ja</t>
  </si>
  <si>
    <t>ja</t>
  </si>
  <si>
    <t>-</t>
  </si>
  <si>
    <t>-</t>
  </si>
  <si>
    <t>-</t>
  </si>
  <si>
    <t>-</t>
  </si>
  <si>
    <t>-</t>
  </si>
  <si>
    <t>-</t>
  </si>
  <si>
    <t>-</t>
  </si>
  <si>
    <t>ausserorts</t>
  </si>
  <si>
    <t>nein</t>
  </si>
  <si>
    <t>&gt;3</t>
  </si>
  <si>
    <t>ja</t>
  </si>
  <si>
    <t>nein</t>
  </si>
  <si>
    <t>-</t>
  </si>
  <si>
    <t>-</t>
  </si>
  <si>
    <t>-</t>
  </si>
  <si>
    <t>-</t>
  </si>
  <si>
    <t>-</t>
  </si>
  <si>
    <t>-</t>
  </si>
  <si>
    <t>-</t>
  </si>
  <si>
    <t>ausserorts</t>
  </si>
  <si>
    <t>nein</t>
  </si>
  <si>
    <t>&gt;3</t>
  </si>
  <si>
    <t>nein</t>
  </si>
  <si>
    <t>ja</t>
  </si>
  <si>
    <t>-</t>
  </si>
  <si>
    <t>-</t>
  </si>
  <si>
    <t>-</t>
  </si>
  <si>
    <t>-</t>
  </si>
  <si>
    <t>-</t>
  </si>
  <si>
    <t>-</t>
  </si>
  <si>
    <t>-</t>
  </si>
  <si>
    <t>ausserorts</t>
  </si>
  <si>
    <t>nein</t>
  </si>
  <si>
    <t>&gt;3</t>
  </si>
  <si>
    <t>nein</t>
  </si>
  <si>
    <t>nein</t>
  </si>
  <si>
    <t>-</t>
  </si>
  <si>
    <t>-</t>
  </si>
  <si>
    <t>-</t>
  </si>
  <si>
    <t>-</t>
  </si>
  <si>
    <t>-</t>
  </si>
  <si>
    <t>-</t>
  </si>
  <si>
    <t>-</t>
  </si>
  <si>
    <t>ausserorts</t>
  </si>
  <si>
    <t>nein</t>
  </si>
  <si>
    <t>3</t>
  </si>
  <si>
    <t>ja</t>
  </si>
  <si>
    <t>ja</t>
  </si>
  <si>
    <t>-</t>
  </si>
  <si>
    <t>-</t>
  </si>
  <si>
    <t>-</t>
  </si>
  <si>
    <t>-</t>
  </si>
  <si>
    <t>-</t>
  </si>
  <si>
    <t>-</t>
  </si>
  <si>
    <t>-</t>
  </si>
  <si>
    <t>ausserorts</t>
  </si>
  <si>
    <t>nein</t>
  </si>
  <si>
    <t>3</t>
  </si>
  <si>
    <t>ja</t>
  </si>
  <si>
    <t>nein</t>
  </si>
  <si>
    <t>-</t>
  </si>
  <si>
    <t>-</t>
  </si>
  <si>
    <t>-</t>
  </si>
  <si>
    <t>-</t>
  </si>
  <si>
    <t>-</t>
  </si>
  <si>
    <t>-</t>
  </si>
  <si>
    <t>-</t>
  </si>
  <si>
    <t>ausserorts</t>
  </si>
  <si>
    <t>nein</t>
  </si>
  <si>
    <t>3</t>
  </si>
  <si>
    <t>nein</t>
  </si>
  <si>
    <t>ja</t>
  </si>
  <si>
    <t>-</t>
  </si>
  <si>
    <t>-</t>
  </si>
  <si>
    <t>-</t>
  </si>
  <si>
    <t>-</t>
  </si>
  <si>
    <t>-</t>
  </si>
  <si>
    <t>-</t>
  </si>
  <si>
    <t>-</t>
  </si>
  <si>
    <t>ausserorts</t>
  </si>
  <si>
    <t>nein</t>
  </si>
  <si>
    <t>3</t>
  </si>
  <si>
    <t>nein</t>
  </si>
  <si>
    <t>nein</t>
  </si>
  <si>
    <t>-</t>
  </si>
  <si>
    <t>-</t>
  </si>
  <si>
    <t>-</t>
  </si>
  <si>
    <t>-</t>
  </si>
  <si>
    <t>-</t>
  </si>
  <si>
    <t>-</t>
  </si>
  <si>
    <t>-</t>
  </si>
  <si>
    <t>ausserorts</t>
  </si>
  <si>
    <t>ja</t>
  </si>
  <si>
    <t>&gt;3</t>
  </si>
  <si>
    <t>-</t>
  </si>
  <si>
    <t>ja</t>
  </si>
  <si>
    <t>-</t>
  </si>
  <si>
    <t>-</t>
  </si>
  <si>
    <t>-</t>
  </si>
  <si>
    <t>-</t>
  </si>
  <si>
    <t>-</t>
  </si>
  <si>
    <t>-</t>
  </si>
  <si>
    <t>-</t>
  </si>
  <si>
    <t>ausserorts</t>
  </si>
  <si>
    <t>ja</t>
  </si>
  <si>
    <t>&gt;3</t>
  </si>
  <si>
    <t>-</t>
  </si>
  <si>
    <t>nein</t>
  </si>
  <si>
    <t>-</t>
  </si>
  <si>
    <t>-</t>
  </si>
  <si>
    <t>-</t>
  </si>
  <si>
    <t>-</t>
  </si>
  <si>
    <t>-</t>
  </si>
  <si>
    <t>-</t>
  </si>
  <si>
    <t>-</t>
  </si>
  <si>
    <t>ausserorts</t>
  </si>
  <si>
    <t>ja</t>
  </si>
  <si>
    <t>3</t>
  </si>
  <si>
    <t>-</t>
  </si>
  <si>
    <t>ja</t>
  </si>
  <si>
    <t>-</t>
  </si>
  <si>
    <t>-</t>
  </si>
  <si>
    <t>-</t>
  </si>
  <si>
    <t>-</t>
  </si>
  <si>
    <t>-</t>
  </si>
  <si>
    <t>-</t>
  </si>
  <si>
    <t>-</t>
  </si>
  <si>
    <t>ausserorts</t>
  </si>
  <si>
    <t>ja</t>
  </si>
  <si>
    <t>3</t>
  </si>
  <si>
    <t>-</t>
  </si>
  <si>
    <t>nein</t>
  </si>
  <si>
    <t>-</t>
  </si>
  <si>
    <t>-</t>
  </si>
  <si>
    <t>-</t>
  </si>
  <si>
    <t>-</t>
  </si>
  <si>
    <t>-</t>
  </si>
  <si>
    <t>-</t>
  </si>
  <si>
    <t>-</t>
  </si>
  <si>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</si>
  <si>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</si>
  <si>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</si>
  <si>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</si>
  <si>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</si>
  <si>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</si>
  <si>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</si>
  <si>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</si>
  <si>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</si>
  <si>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</si>
  <si>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</si>
  <si>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</si>
  <si>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</si>
  <si>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</si>
  <si>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</si>
  <si>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</si>
  <si>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</si>
  <si>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</si>
  <si>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</si>
  <si>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</si>
  <si>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</si>
  <si>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</si>
  <si>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</si>
  <si>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</si>
  <si>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</si>
  <si>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</si>
  <si>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</si>
  <si>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</si>
  <si>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</si>
  <si>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</si>
  <si>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</si>
  <si>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</si>
  <si>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</si>
  <si>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</si>
  <si>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</si>
  <si>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</si>
  <si>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</si>
  <si>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</si>
  <si>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</si>
  <si>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</si>
  <si>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</si>
  <si>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</si>
  <si>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</si>
  <si>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</si>
  <si>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</si>
  <si>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</si>
  <si>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</si>
  <si>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</si>
  <si>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</si>
  <si>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</si>
  <si>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</si>
  <si>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</si>
  <si>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</si>
  <si>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</si>
  <si>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</si>
  <si>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</si>
  <si>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</si>
  <si>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</si>
  <si>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</si>
  <si>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</si>
  <si>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</si>
  <si>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</si>
  <si>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</si>
  <si>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</si>
  <si>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</si>
  <si>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</si>
  <si>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</si>
  <si>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</si>
  <si>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</si>
  <si>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</si>
  <si>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</si>
  <si>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</si>
  <si>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</si>
  <si>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</si>
  <si>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</si>
  <si>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</si>
  <si>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</si>
  <si>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</si>
  <si>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</si>
  <si>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</si>
  <si>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</si>
  <si>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</si>
  <si>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</si>
  <si>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</si>
  <si>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</si>
  <si>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</si>
  <si>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</si>
  <si>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</si>
  <si>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</si>
  <si>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</si>
  <si>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</si>
  <si>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</si>
  <si>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</si>
  <si>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</si>
  <si>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</si>
  <si>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</si>
  <si>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</si>
  <si>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</si>
  <si>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</si>
  <si>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</si>
  <si>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</si>
  <si>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</si>
  <si>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</si>
  <si>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</si>
  <si>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</si>
  <si>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</si>
  <si>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</si>
  <si>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</si>
  <si>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</si>
  <si>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</si>
  <si>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</si>
  <si>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</si>
  <si>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</si>
  <si>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</si>
  <si>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</si>
  <si>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</si>
  <si>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</si>
  <si>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</si>
  <si>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</si>
  <si>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</si>
  <si>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</si>
  <si>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</si>
  <si>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</si>
  <si>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</si>
  <si>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</si>
  <si>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</si>
  <si>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</si>
  <si>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</si>
  <si>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</si>
  <si>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</si>
  <si>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</si>
  <si>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</si>
  <si>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</si>
  <si>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</si>
  <si>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</si>
  <si>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</si>
  <si>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</si>
  <si>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</si>
  <si>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</si>
  <si>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</si>
  <si>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</si>
  <si>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</si>
  <si>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</si>
  <si>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</si>
  <si>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</si>
  <si>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</si>
  <si>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</si>
  <si>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</si>
  <si>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</si>
  <si>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</si>
  <si>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</si>
  <si>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</si>
  <si>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</si>
  <si>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</si>
  <si>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</si>
  <si>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</si>
  <si>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</si>
  <si>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</si>
  <si>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</si>
  <si>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</si>
  <si>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</si>
  <si>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</si>
  <si>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</si>
  <si>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</si>
  <si>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</si>
  <si>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</si>
  <si>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</si>
  <si>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</si>
  <si>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</si>
  <si>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</si>
  <si>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</si>
  <si>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</si>
  <si>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</si>
  <si>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</si>
  <si>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</si>
  <si>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</si>
  <si>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</si>
  <si>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</si>
  <si>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</si>
  <si>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</si>
  <si>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</si>
  <si>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</si>
  <si>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</si>
  <si>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</si>
  <si>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</si>
  <si>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</si>
  <si>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</si>
  <si>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</si>
  <si>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</si>
  <si>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</si>
  <si>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</si>
  <si>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</si>
  <si>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</si>
  <si>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</si>
  <si>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</si>
  <si>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</si>
  <si>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</si>
  <si>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</si>
  <si>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</si>
  <si>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</si>
  <si>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</si>
  <si>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</si>
  <si>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</si>
  <si>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</si>
  <si>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</si>
  <si>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</si>
  <si>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</si>
  <si>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</si>
  <si>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</si>
  <si>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</si>
  <si>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</si>
  <si>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</si>
  <si>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</si>
  <si>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</si>
  <si>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</si>
  <si>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</si>
  <si>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</si>
  <si>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</si>
  <si>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</si>
  <si>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</si>
  <si>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</si>
  <si>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</si>
  <si>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</si>
  <si>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</si>
  <si>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</si>
  <si>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</si>
  <si>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</si>
  <si>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</si>
  <si>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</si>
  <si>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</si>
  <si>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</si>
  <si>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</si>
  <si>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</si>
  <si>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</si>
  <si>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</si>
  <si>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</si>
  <si>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</si>
  <si>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</si>
  <si>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</si>
  <si>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</si>
  <si>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</si>
  <si>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</si>
  <si>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</si>
  <si>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</si>
  <si>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</si>
  <si>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</si>
  <si>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</si>
  <si>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</si>
  <si>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</si>
  <si>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</si>
  <si>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</si>
  <si>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</si>
  <si>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</si>
  <si>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</si>
  <si>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</si>
  <si>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</si>
  <si>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</si>
  <si>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</si>
  <si>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</si>
  <si>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</si>
  <si>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</si>
  <si>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</si>
  <si>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</si>
  <si>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</si>
  <si>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</si>
  <si>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</si>
  <si>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</si>
  <si>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</si>
  <si>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</si>
  <si>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</si>
  <si>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guidage ouvert</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</si>
  <si>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</si>
  <si>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</si>
  <si>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</si>
  <si>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</si>
  <si>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</si>
  <si>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</si>
  <si>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</si>
  <si>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</si>
  <si>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</si>
  <si>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</si>
  <si>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principale</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</si>
  <si>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</si>
  <si>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</si>
  <si>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</si>
  <si>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</si>
  <si>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</si>
  <si>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</si>
  <si>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</si>
  <si>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</si>
  <si>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</si>
  <si>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</si>
  <si>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</si>
  <si>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</si>
  <si>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</si>
  <si>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</si>
  <si>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</si>
  <si>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</si>
  <si>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</si>
  <si>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</si>
  <si>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</si>
  <si>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</si>
  <si>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</si>
  <si>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</si>
  <si>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</si>
  <si>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</si>
  <si>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</si>
  <si>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</si>
  <si>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</si>
  <si>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</si>
  <si>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</si>
  <si>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</si>
  <si>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</si>
  <si>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</si>
  <si>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</si>
  <si>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</si>
  <si>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</si>
  <si>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</si>
  <si>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</si>
  <si>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</si>
  <si>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</si>
  <si>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</si>
  <si>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</si>
  <si>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</si>
  <si>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</si>
  <si>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</si>
  <si>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</si>
  <si>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</si>
  <si>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</si>
  <si>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</si>
  <si>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</si>
  <si>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</si>
  <si>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</si>
  <si>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</si>
  <si>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</si>
  <si>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</si>
  <si>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</si>
  <si>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</si>
  <si>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</si>
  <si>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</si>
  <si>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</si>
  <si>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</si>
  <si>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</si>
  <si>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</si>
  <si>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</si>
  <si>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</si>
  <si>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</si>
  <si>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</si>
  <si>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</si>
  <si>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oui</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</si>
  <si>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</si>
  <si>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</si>
  <si>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</si>
  <si>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</si>
  <si>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</si>
  <si>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</si>
  <si>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</si>
  <si>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</si>
  <si>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</si>
  <si>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</si>
  <si>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</si>
  <si>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</si>
  <si>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</si>
  <si>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</si>
  <si>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</si>
  <si>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</si>
  <si>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</si>
  <si>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</si>
  <si>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</si>
  <si>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</si>
  <si>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</si>
  <si>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</si>
  <si>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</si>
  <si>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</si>
  <si>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</si>
  <si>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</si>
  <si>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</si>
  <si>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</si>
  <si>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</si>
  <si>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</si>
  <si>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</si>
  <si>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</si>
  <si>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</si>
  <si>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</si>
  <si>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</si>
  <si>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</si>
  <si>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</si>
  <si>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</si>
  <si>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</si>
  <si>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</si>
  <si>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</si>
  <si>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</si>
  <si>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</si>
  <si>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</si>
  <si>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</si>
  <si>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</si>
  <si>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</si>
  <si>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</si>
  <si>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</si>
  <si>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</si>
  <si>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</si>
  <si>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</si>
  <si>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</si>
  <si>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</si>
  <si>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</si>
  <si>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</si>
  <si>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</si>
  <si>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</si>
  <si>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</si>
  <si>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</si>
  <si>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</si>
  <si>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</si>
  <si>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</si>
  <si>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</si>
  <si>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oui</t>
    </r>
  </si>
  <si>
    <r>
      <rPr>
        <sz val="9"/>
        <color theme="1"/>
        <rFont val="BFU Suisse"/>
        <family val="2"/>
      </rPr>
      <t>non</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</si>
  <si>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</si>
  <si>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</si>
  <si>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</si>
  <si>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</si>
  <si>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</si>
  <si>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</si>
  <si>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</si>
  <si>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</si>
  <si>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</si>
  <si>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</si>
  <si>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</si>
  <si>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</si>
  <si>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</si>
  <si>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</si>
  <si>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</si>
  <si>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</si>
  <si>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</si>
  <si>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</si>
  <si>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</si>
  <si>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</si>
  <si>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</si>
  <si>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</si>
  <si>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</si>
  <si>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</si>
  <si>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</si>
  <si>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</si>
  <si>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</si>
  <si>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</si>
  <si>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</si>
  <si>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</si>
  <si>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</si>
  <si>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</si>
  <si>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</si>
  <si>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</si>
  <si>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</si>
  <si>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</si>
  <si>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</si>
  <si>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</si>
  <si>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</si>
  <si>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</si>
  <si>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</si>
  <si>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</si>
  <si>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</si>
  <si>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</si>
  <si>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</si>
  <si>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</si>
  <si>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</si>
  <si>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</si>
  <si>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</si>
  <si>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</si>
  <si>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</si>
  <si>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</si>
  <si>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</si>
  <si>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</si>
  <si>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</si>
  <si>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</si>
  <si>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</si>
  <si>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</si>
  <si>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</si>
  <si>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</si>
  <si>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</si>
  <si>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</si>
  <si>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</si>
  <si>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</si>
  <si>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</si>
  <si>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oui</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</si>
  <si>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</si>
  <si>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</si>
  <si>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</si>
  <si>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</si>
  <si>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</si>
  <si>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</si>
  <si>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</si>
  <si>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</si>
  <si>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</si>
  <si>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</si>
  <si>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</si>
  <si>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</si>
  <si>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</si>
  <si>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</si>
  <si>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</si>
  <si>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</si>
  <si>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</si>
  <si>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</si>
  <si>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</si>
  <si>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</si>
  <si>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</si>
  <si>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</si>
  <si>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</si>
  <si>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</si>
  <si>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</si>
  <si>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</si>
  <si>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</si>
  <si>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</si>
  <si>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</si>
  <si>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</si>
  <si>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</si>
  <si>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</si>
  <si>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</si>
  <si>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oui</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</si>
  <si>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</si>
  <si>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</si>
  <si>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</si>
  <si>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</si>
  <si>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</si>
  <si>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</si>
  <si>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</si>
  <si>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</si>
  <si>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</si>
  <si>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</si>
  <si>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</si>
  <si>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sans</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</si>
  <si>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</si>
  <si>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</si>
  <si>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</si>
  <si>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</si>
  <si>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</si>
  <si>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</si>
  <si>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</si>
  <si>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</si>
  <si>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</si>
  <si>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</si>
  <si>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bande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</si>
  <si>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</si>
  <si>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</si>
  <si>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</si>
  <si>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</si>
  <si>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</si>
  <si>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</si>
  <si>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route secondaire</t>
    </r>
  </si>
  <si>
    <r>
      <rPr>
        <sz val="9"/>
        <color theme="1"/>
        <rFont val="BFU Suisse"/>
        <family val="2"/>
      </rPr>
      <t>non</t>
    </r>
  </si>
  <si>
    <r>
      <rPr>
        <sz val="9"/>
        <color theme="1"/>
        <rFont val="BFU Suisse"/>
        <family val="2"/>
      </rPr>
      <t>non</t>
    </r>
  </si>
  <si>
    <r>
      <rPr>
        <sz val="9"/>
        <color theme="1"/>
        <rFont val="BFU Suisse"/>
        <family val="2"/>
      </rPr>
      <t>non</t>
    </r>
  </si>
  <si>
    <r>
      <rPr>
        <sz val="9"/>
        <color theme="1"/>
        <rFont val="BFU Suisse"/>
        <family val="2"/>
      </rPr>
      <t>piste cyclable</t>
    </r>
  </si>
  <si>
    <r>
      <rPr>
        <sz val="9"/>
        <color theme="1"/>
        <rFont val="BFU Suisse"/>
        <family val="2"/>
      </rPr>
      <t>-</t>
    </r>
  </si>
  <si>
    <r>
      <rPr>
        <sz val="9"/>
        <color theme="1"/>
        <rFont val="BFU Suisse"/>
        <family val="2"/>
      </rPr>
      <t>en localité</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</si>
  <si>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</si>
  <si>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</si>
  <si>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</si>
  <si>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</si>
  <si>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</si>
  <si>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</si>
  <si>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</si>
  <si>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</si>
  <si>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</si>
  <si>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t>ausserorts</t>
  </si>
  <si>
    <t>-</t>
  </si>
  <si>
    <t>-</t>
  </si>
  <si>
    <t>-</t>
  </si>
  <si>
    <t>-</t>
  </si>
  <si>
    <t>Hauptstrasse</t>
  </si>
  <si>
    <t>ja</t>
  </si>
  <si>
    <t>-</t>
  </si>
  <si>
    <t>-</t>
  </si>
  <si>
    <t>Ohne</t>
  </si>
  <si>
    <t>-</t>
  </si>
  <si>
    <t>ausserorts</t>
  </si>
  <si>
    <t>-</t>
  </si>
  <si>
    <t>-</t>
  </si>
  <si>
    <t>-</t>
  </si>
  <si>
    <t>-</t>
  </si>
  <si>
    <t>Hauptstrasse</t>
  </si>
  <si>
    <t>ja</t>
  </si>
  <si>
    <t>-</t>
  </si>
  <si>
    <t>-</t>
  </si>
  <si>
    <t>Radstreifen</t>
  </si>
  <si>
    <t>-</t>
  </si>
  <si>
    <t>ausserorts</t>
  </si>
  <si>
    <t>-</t>
  </si>
  <si>
    <t>-</t>
  </si>
  <si>
    <t>-</t>
  </si>
  <si>
    <t>-</t>
  </si>
  <si>
    <t>Hauptstrasse</t>
  </si>
  <si>
    <t>ja</t>
  </si>
  <si>
    <t>-</t>
  </si>
  <si>
    <t>-</t>
  </si>
  <si>
    <t>Radweg</t>
  </si>
  <si>
    <t>-</t>
  </si>
  <si>
    <t>ausserorts</t>
  </si>
  <si>
    <t>-</t>
  </si>
  <si>
    <t>-</t>
  </si>
  <si>
    <t>-</t>
  </si>
  <si>
    <t>-</t>
  </si>
  <si>
    <t>Hauptstrasse</t>
  </si>
  <si>
    <t>nein</t>
  </si>
  <si>
    <t>-</t>
  </si>
  <si>
    <t>-</t>
  </si>
  <si>
    <t>Ohne</t>
  </si>
  <si>
    <t>-</t>
  </si>
  <si>
    <t>ausserorts</t>
  </si>
  <si>
    <t>-</t>
  </si>
  <si>
    <t>-</t>
  </si>
  <si>
    <t>-</t>
  </si>
  <si>
    <t>-</t>
  </si>
  <si>
    <t>Hauptstrasse</t>
  </si>
  <si>
    <t>nein</t>
  </si>
  <si>
    <t>-</t>
  </si>
  <si>
    <t>-</t>
  </si>
  <si>
    <t>Radstreifen</t>
  </si>
  <si>
    <t>-</t>
  </si>
  <si>
    <t>ausserorts</t>
  </si>
  <si>
    <t>-</t>
  </si>
  <si>
    <t>-</t>
  </si>
  <si>
    <t>-</t>
  </si>
  <si>
    <t>-</t>
  </si>
  <si>
    <t>Hauptstrasse</t>
  </si>
  <si>
    <t>nein</t>
  </si>
  <si>
    <t>-</t>
  </si>
  <si>
    <t>-</t>
  </si>
  <si>
    <t>Radweg</t>
  </si>
  <si>
    <t>-</t>
  </si>
  <si>
    <t>ausserorts</t>
  </si>
  <si>
    <t>-</t>
  </si>
  <si>
    <t>-</t>
  </si>
  <si>
    <t>-</t>
  </si>
  <si>
    <t>-</t>
  </si>
  <si>
    <t>Hauptstrasse</t>
  </si>
  <si>
    <t>-</t>
  </si>
  <si>
    <t>-</t>
  </si>
  <si>
    <t>-</t>
  </si>
  <si>
    <t>-</t>
  </si>
  <si>
    <t>-</t>
  </si>
  <si>
    <t>ausserorts</t>
  </si>
  <si>
    <t>-</t>
  </si>
  <si>
    <t>-</t>
  </si>
  <si>
    <t>-</t>
  </si>
  <si>
    <t>-</t>
  </si>
  <si>
    <t>Nebenstrasse</t>
  </si>
  <si>
    <t>ja</t>
  </si>
  <si>
    <t>-</t>
  </si>
  <si>
    <t>-</t>
  </si>
  <si>
    <t>Ohne</t>
  </si>
  <si>
    <t>-</t>
  </si>
  <si>
    <t>ausserorts</t>
  </si>
  <si>
    <t>-</t>
  </si>
  <si>
    <t>-</t>
  </si>
  <si>
    <t>-</t>
  </si>
  <si>
    <t>-</t>
  </si>
  <si>
    <t>Nebenstrasse</t>
  </si>
  <si>
    <t>ja</t>
  </si>
  <si>
    <t>-</t>
  </si>
  <si>
    <t>-</t>
  </si>
  <si>
    <t>Radstreifen</t>
  </si>
  <si>
    <t>-</t>
  </si>
  <si>
    <t>ausserorts</t>
  </si>
  <si>
    <t>-</t>
  </si>
  <si>
    <t>-</t>
  </si>
  <si>
    <t>-</t>
  </si>
  <si>
    <t>-</t>
  </si>
  <si>
    <t>Nebenstrasse</t>
  </si>
  <si>
    <t>ja</t>
  </si>
  <si>
    <t>-</t>
  </si>
  <si>
    <t>-</t>
  </si>
  <si>
    <t>Radweg</t>
  </si>
  <si>
    <t>-</t>
  </si>
  <si>
    <t>ausserorts</t>
  </si>
  <si>
    <t>-</t>
  </si>
  <si>
    <t>-</t>
  </si>
  <si>
    <t>-</t>
  </si>
  <si>
    <t>-</t>
  </si>
  <si>
    <t>Nebenstrasse</t>
  </si>
  <si>
    <t>nein</t>
  </si>
  <si>
    <t>-</t>
  </si>
  <si>
    <t>-</t>
  </si>
  <si>
    <t>Ohne</t>
  </si>
  <si>
    <t>-</t>
  </si>
  <si>
    <t>ausserorts</t>
  </si>
  <si>
    <t>-</t>
  </si>
  <si>
    <t>-</t>
  </si>
  <si>
    <t>-</t>
  </si>
  <si>
    <t>-</t>
  </si>
  <si>
    <t>Nebenstrasse</t>
  </si>
  <si>
    <t>nein</t>
  </si>
  <si>
    <t>-</t>
  </si>
  <si>
    <t>-</t>
  </si>
  <si>
    <t>Radstreifen</t>
  </si>
  <si>
    <t>-</t>
  </si>
  <si>
    <t>ausserorts</t>
  </si>
  <si>
    <t>-</t>
  </si>
  <si>
    <t>-</t>
  </si>
  <si>
    <t>-</t>
  </si>
  <si>
    <t>-</t>
  </si>
  <si>
    <t>Nebenstrasse</t>
  </si>
  <si>
    <t>nein</t>
  </si>
  <si>
    <t>-</t>
  </si>
  <si>
    <t>-</t>
  </si>
  <si>
    <t>Radweg</t>
  </si>
  <si>
    <t>-</t>
  </si>
  <si>
    <t>ausserorts</t>
  </si>
  <si>
    <t>-</t>
  </si>
  <si>
    <t>-</t>
  </si>
  <si>
    <t>-</t>
  </si>
  <si>
    <t>-</t>
  </si>
  <si>
    <t>Nebenstrasse</t>
  </si>
  <si>
    <t>-</t>
  </si>
  <si>
    <t>-</t>
  </si>
  <si>
    <t>-</t>
  </si>
  <si>
    <t>-</t>
  </si>
  <si>
    <t>-</t>
  </si>
  <si>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</si>
  <si>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</si>
  <si>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</si>
  <si>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</si>
  <si>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</si>
  <si>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</si>
  <si>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</si>
  <si>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</si>
  <si>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</si>
  <si>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</si>
  <si>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&gt; 2 voies par sens de circulation</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</si>
  <si>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</si>
  <si>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</si>
  <si>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</si>
  <si>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</si>
  <si>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</si>
  <si>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</si>
  <si>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</si>
  <si>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</si>
  <si>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</si>
  <si>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</si>
  <si>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&lt;=2 voies par sens de circulation</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</si>
  <si>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</si>
  <si>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</si>
  <si>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</si>
  <si>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</si>
  <si>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</si>
  <si>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</si>
  <si>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</si>
  <si>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</si>
  <si>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</si>
  <si>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</si>
  <si>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</si>
  <si>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</si>
  <si>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</si>
  <si>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</si>
  <si>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</si>
  <si>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</si>
  <si>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</si>
  <si>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</si>
  <si>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</si>
  <si>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</si>
  <si>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</si>
  <si>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</si>
  <si>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</si>
  <si>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</si>
  <si>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</si>
  <si>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</si>
  <si>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</si>
  <si>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</si>
  <si>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</si>
  <si>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</si>
  <si>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</si>
  <si>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avec séparation physique</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</si>
  <si>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</si>
  <si>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</si>
  <si>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</si>
  <si>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</si>
  <si>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</si>
  <si>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</si>
  <si>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</si>
  <si>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</si>
  <si>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</si>
  <si>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</si>
  <si>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sans séparation physique</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</si>
  <si>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</si>
  <si>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</si>
  <si>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</si>
  <si>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</si>
  <si>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</si>
  <si>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</si>
  <si>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</si>
  <si>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</si>
  <si>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</si>
  <si>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</si>
  <si>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avec séparation physique</t>
    </r>
  </si>
  <si>
    <r>
      <rPr>
        <sz val="9"/>
        <color theme="1"/>
        <rFont val="BFU Suisse"/>
        <family val="2"/>
      </rPr>
      <t>autoroute / 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</si>
  <si>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</si>
  <si>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</si>
  <si>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</si>
  <si>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</si>
  <si>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semi-autoroute</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</si>
  <si>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</si>
  <si>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</si>
  <si>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</si>
  <si>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t>
    </r>
  </si>
  <si>
    <r>
      <rPr>
        <sz val="9"/>
        <color theme="1"/>
        <rFont val="BFU Suisse"/>
        <family val="2"/>
      </rPr>
      <t>sans séparation physique</t>
    </r>
  </si>
  <si>
    <r>
      <t xml:space="preserve">Schritt 2: Beurteilung der Streckeneignung
</t>
    </r>
    <r>
      <rPr>
        <sz val="11"/>
        <color theme="1"/>
        <rFont val="BFU Suisse"/>
        <family val="2"/>
      </rPr>
      <t>(nach Art. 43 Abs. 3 Buchst. d-g und Art. 45 Abs. 1 Buchst. d-f)</t>
    </r>
  </si>
  <si>
    <r>
      <rPr>
        <b/>
        <sz val="20"/>
        <color theme="1"/>
        <rFont val="BFU Suisse"/>
        <family val="2"/>
      </rPr>
      <t>Stufe 2 - Beurteilung des Anspruchsniveaus des Betriebsbereichs</t>
    </r>
    <r>
      <rPr>
        <b/>
        <sz val="18"/>
        <color theme="1"/>
        <rFont val="BFU Suisse"/>
        <family val="2"/>
      </rPr>
      <t xml:space="preserve">
</t>
    </r>
    <r>
      <rPr>
        <sz val="8"/>
        <color theme="1"/>
        <rFont val="BFU Suisse"/>
        <family val="2"/>
      </rPr>
      <t>(nach Art. 43 Abs. 3 Buchst. a und c)</t>
    </r>
  </si>
  <si>
    <r>
      <rPr>
        <b/>
        <sz val="26"/>
        <color theme="1"/>
        <rFont val="BFU Suisse"/>
        <family val="2"/>
      </rPr>
      <t>Étape 3: évaluation de la capacité à assumer la conduite</t>
    </r>
  </si>
  <si>
    <r>
      <rPr>
        <b/>
        <sz val="12"/>
        <color theme="4" tint="-0.499984740745262"/>
        <rFont val="BFU Suisse"/>
        <family val="2"/>
      </rPr>
      <t>Localisation</t>
    </r>
  </si>
  <si>
    <r>
      <rPr>
        <b/>
        <sz val="12"/>
        <color theme="4" tint="-0.499984740745262"/>
        <rFont val="BFU Suisse"/>
        <family val="2"/>
      </rPr>
      <t>Giratoire</t>
    </r>
  </si>
  <si>
    <r>
      <rPr>
        <b/>
        <sz val="12"/>
        <color theme="4" tint="-0.499984740745262"/>
        <rFont val="BFU Suisse"/>
        <family val="2"/>
      </rPr>
      <t>Infrastructure cyclable séparée</t>
    </r>
  </si>
  <si>
    <r>
      <rPr>
        <b/>
        <sz val="12"/>
        <rFont val="BFU Suisse"/>
        <family val="2"/>
      </rPr>
      <t>Catégorie de route</t>
    </r>
  </si>
  <si>
    <r>
      <rPr>
        <b/>
        <sz val="12"/>
        <color theme="4" tint="-0.499984740745262"/>
        <rFont val="BFU Suisse"/>
        <family val="2"/>
      </rPr>
      <t>Guidage</t>
    </r>
  </si>
  <si>
    <r>
      <rPr>
        <b/>
        <sz val="12"/>
        <color theme="4" tint="-0.499984740745262"/>
        <rFont val="BFU Suisse"/>
        <family val="2"/>
      </rPr>
      <t>Transports publics</t>
    </r>
  </si>
  <si>
    <r>
      <rPr>
        <b/>
        <sz val="12"/>
        <color theme="4" tint="-0.499984740745262"/>
        <rFont val="BFU Suisse"/>
        <family val="2"/>
      </rPr>
      <t>Usage commercial</t>
    </r>
  </si>
  <si>
    <r>
      <rPr>
        <b/>
        <sz val="12"/>
        <color theme="4" tint="-0.499984740745262"/>
        <rFont val="BFU Suisse"/>
        <family val="2"/>
      </rPr>
      <t>Trottoir</t>
    </r>
  </si>
  <si>
    <r>
      <rPr>
        <b/>
        <sz val="12"/>
        <color theme="4" tint="-0.499984740745262"/>
        <rFont val="BFU Suisse"/>
        <family val="2"/>
      </rPr>
      <t>Infrastructure cyclable</t>
    </r>
  </si>
  <si>
    <r>
      <rPr>
        <b/>
        <sz val="12"/>
        <color theme="3"/>
        <rFont val="BFU Suisse"/>
        <family val="2"/>
      </rPr>
      <t>Nombre</t>
    </r>
  </si>
  <si>
    <r>
      <rPr>
        <b/>
        <sz val="12"/>
        <color theme="3"/>
        <rFont val="BFU Suisse"/>
        <family val="2"/>
      </rPr>
      <t xml:space="preserve">Preuve suffisante </t>
    </r>
    <r>
      <rPr>
        <b/>
        <sz val="12"/>
        <color theme="3"/>
        <rFont val="BFU Suisse"/>
        <family val="2"/>
      </rPr>
      <t xml:space="preserve">
</t>
    </r>
    <r>
      <rPr>
        <sz val="12"/>
        <color theme="3"/>
        <rFont val="BFU Suisse"/>
        <family val="2"/>
      </rPr>
      <t>(oui/non)</t>
    </r>
  </si>
  <si>
    <r>
      <rPr>
        <b/>
        <sz val="26"/>
        <color theme="0"/>
        <rFont val="BFU Suisse"/>
        <family val="2"/>
      </rPr>
      <t>Résultat intermédiaire</t>
    </r>
    <r>
      <rPr>
        <b/>
        <sz val="26"/>
        <color theme="0"/>
        <rFont val="BFU Suisse"/>
        <family val="2"/>
      </rPr>
      <t xml:space="preserve">
</t>
    </r>
    <r>
      <rPr>
        <sz val="14"/>
        <color theme="0"/>
        <rFont val="BFU Suisse"/>
        <family val="2"/>
      </rPr>
      <t xml:space="preserve"> </t>
    </r>
    <r>
      <rPr>
        <b/>
        <sz val="14"/>
        <color theme="0"/>
        <rFont val="BFU Suisse"/>
        <family val="2"/>
      </rPr>
      <t>Niveau d’exigence</t>
    </r>
    <r>
      <rPr>
        <sz val="14"/>
        <color theme="0"/>
        <rFont val="BFU Suisse"/>
        <family val="2"/>
      </rPr>
      <t xml:space="preserve"> </t>
    </r>
    <r>
      <rPr>
        <sz val="14"/>
        <color theme="0"/>
        <rFont val="BFU Suisse"/>
        <family val="2"/>
      </rPr>
      <t xml:space="preserve">
</t>
    </r>
    <r>
      <rPr>
        <i/>
        <sz val="14"/>
        <color theme="0"/>
        <rFont val="BFU Suisse"/>
        <family val="2"/>
      </rPr>
      <t>hors</t>
    </r>
    <r>
      <rPr>
        <sz val="14"/>
        <color theme="0"/>
        <rFont val="BFU Suisse"/>
        <family val="2"/>
      </rPr>
      <t xml:space="preserve"> endroits particulièrement complexes</t>
    </r>
  </si>
  <si>
    <r>
      <rPr>
        <b/>
        <sz val="26"/>
        <color theme="0"/>
        <rFont val="BFU Suisse"/>
        <family val="2"/>
      </rPr>
      <t>Résultat final</t>
    </r>
    <r>
      <rPr>
        <b/>
        <sz val="26"/>
        <color theme="0"/>
        <rFont val="BFU Suisse"/>
        <family val="2"/>
      </rPr>
      <t xml:space="preserve">
</t>
    </r>
    <r>
      <rPr>
        <sz val="14"/>
        <color theme="0"/>
        <rFont val="BFU Suisse"/>
        <family val="2"/>
      </rPr>
      <t xml:space="preserve"> </t>
    </r>
    <r>
      <rPr>
        <b/>
        <sz val="14"/>
        <color theme="0"/>
        <rFont val="BFU Suisse"/>
        <family val="2"/>
      </rPr>
      <t>Niveau d’exigence</t>
    </r>
    <r>
      <rPr>
        <sz val="14"/>
        <color theme="0"/>
        <rFont val="BFU Suisse"/>
        <family val="2"/>
      </rPr>
      <t xml:space="preserve"> </t>
    </r>
    <r>
      <rPr>
        <sz val="14"/>
        <color theme="0"/>
        <rFont val="BFU Suisse"/>
        <family val="2"/>
      </rPr>
      <t xml:space="preserve">
</t>
    </r>
    <r>
      <rPr>
        <i/>
        <sz val="14"/>
        <color theme="0"/>
        <rFont val="BFU Suisse"/>
        <family val="2"/>
      </rPr>
      <t>avec</t>
    </r>
    <r>
      <rPr>
        <sz val="14"/>
        <color theme="0"/>
        <rFont val="BFU Suisse"/>
        <family val="2"/>
      </rPr>
      <t xml:space="preserve"> endroits particulièrement complexes</t>
    </r>
  </si>
  <si>
    <r>
      <rPr>
        <b/>
        <sz val="26"/>
        <color theme="0"/>
        <rFont val="BFU Suisse"/>
        <family val="2"/>
      </rPr>
      <t xml:space="preserve">Évaluation de la </t>
    </r>
    <r>
      <rPr>
        <b/>
        <sz val="26"/>
        <color theme="0"/>
        <rFont val="BFU Suisse"/>
        <family val="2"/>
      </rPr>
      <t xml:space="preserve">
</t>
    </r>
    <r>
      <rPr>
        <b/>
        <sz val="26"/>
        <color theme="0"/>
        <rFont val="BFU Suisse"/>
        <family val="2"/>
      </rPr>
      <t>capacité à assumer la conduite</t>
    </r>
    <r>
      <rPr>
        <b/>
        <sz val="26"/>
        <color theme="0"/>
        <rFont val="BFU Suisse"/>
        <family val="2"/>
      </rPr>
      <t xml:space="preserve">
</t>
    </r>
    <r>
      <rPr>
        <sz val="14"/>
        <color theme="0"/>
        <rFont val="BFU Suisse"/>
        <family val="2"/>
      </rPr>
      <t>(par l’autorité chargée de délivrer l’autorisation)</t>
    </r>
  </si>
  <si>
    <r>
      <rPr>
        <b/>
        <sz val="12"/>
        <color theme="0"/>
        <rFont val="BFU Suisse"/>
        <family val="2"/>
      </rPr>
      <t>En général</t>
    </r>
  </si>
  <si>
    <r>
      <rPr>
        <b/>
        <sz val="12"/>
        <color theme="0"/>
        <rFont val="BFU Suisse"/>
        <family val="2"/>
      </rPr>
      <t>Caractéristiques</t>
    </r>
  </si>
  <si>
    <r>
      <rPr>
        <b/>
        <sz val="12"/>
        <color theme="0"/>
        <rFont val="BFU Suisse"/>
        <family val="2"/>
      </rPr>
      <t>Lacunes</t>
    </r>
  </si>
  <si>
    <r>
      <rPr>
        <b/>
        <sz val="12"/>
        <color theme="4" tint="-0.499984740745262"/>
        <rFont val="BFU Suisse"/>
        <family val="2"/>
      </rPr>
      <t>Localisation</t>
    </r>
  </si>
  <si>
    <r>
      <rPr>
        <b/>
        <sz val="12"/>
        <color theme="4" tint="-0.499984740745262"/>
        <rFont val="BFU Suisse"/>
        <family val="2"/>
      </rPr>
      <t>Giratoire</t>
    </r>
  </si>
  <si>
    <r>
      <rPr>
        <b/>
        <sz val="12"/>
        <color theme="4" tint="-0.499984740745262"/>
        <rFont val="BFU Suisse"/>
        <family val="2"/>
      </rPr>
      <t>Accès aux carrefours</t>
    </r>
  </si>
  <si>
    <r>
      <rPr>
        <b/>
        <sz val="12"/>
        <color theme="4" tint="-0.499984740745262"/>
        <rFont val="BFU Suisse"/>
        <family val="2"/>
      </rPr>
      <t>Infrastructure cyclable séparée</t>
    </r>
  </si>
  <si>
    <r>
      <rPr>
        <b/>
        <sz val="12"/>
        <rFont val="BFU Suisse"/>
        <family val="2"/>
      </rPr>
      <t>Catégorie de route</t>
    </r>
  </si>
  <si>
    <r>
      <rPr>
        <b/>
        <sz val="12"/>
        <color theme="4" tint="-0.499984740745262"/>
        <rFont val="BFU Suisse"/>
        <family val="2"/>
      </rPr>
      <t>Guidage</t>
    </r>
  </si>
  <si>
    <r>
      <rPr>
        <b/>
        <sz val="12"/>
        <color theme="4" tint="-0.499984740745262"/>
        <rFont val="BFU Suisse"/>
        <family val="2"/>
      </rPr>
      <t>Transports publics</t>
    </r>
  </si>
  <si>
    <r>
      <rPr>
        <b/>
        <sz val="12"/>
        <color theme="4" tint="-0.499984740745262"/>
        <rFont val="BFU Suisse"/>
        <family val="2"/>
      </rPr>
      <t>Usage commercial</t>
    </r>
  </si>
  <si>
    <r>
      <rPr>
        <b/>
        <sz val="12"/>
        <color theme="4" tint="-0.499984740745262"/>
        <rFont val="BFU Suisse"/>
        <family val="2"/>
      </rPr>
      <t>Trottoir</t>
    </r>
  </si>
  <si>
    <r>
      <rPr>
        <b/>
        <sz val="12"/>
        <color theme="4" tint="-0.499984740745262"/>
        <rFont val="BFU Suisse"/>
        <family val="2"/>
      </rPr>
      <t>Infrastructure cyclable</t>
    </r>
  </si>
  <si>
    <r>
      <rPr>
        <b/>
        <sz val="12"/>
        <color theme="4" tint="-0.499984740745262"/>
        <rFont val="BFU Suisse"/>
        <family val="2"/>
      </rPr>
      <t xml:space="preserve">Méthode </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(estimation oui/non)</t>
    </r>
  </si>
  <si>
    <r>
      <rPr>
        <b/>
        <sz val="12"/>
        <color theme="3"/>
        <rFont val="BFU Suisse"/>
        <family val="2"/>
      </rPr>
      <t>Sécurité routière</t>
    </r>
    <r>
      <rPr>
        <b/>
        <sz val="12"/>
        <color theme="3"/>
        <rFont val="BFU Suisse"/>
        <family val="2"/>
      </rPr>
      <t xml:space="preserve">
</t>
    </r>
    <r>
      <rPr>
        <sz val="12"/>
        <color theme="3"/>
        <rFont val="BFU Suisse"/>
        <family val="2"/>
      </rPr>
      <t xml:space="preserve"> (évaluation de l’accidentalité)</t>
    </r>
  </si>
  <si>
    <r>
      <rPr>
        <b/>
        <sz val="12"/>
        <color theme="4" tint="-0.499984740745262"/>
        <rFont val="BFU Suisse"/>
        <family val="2"/>
      </rPr>
      <t xml:space="preserve">Aménagements particuliers </t>
    </r>
    <r>
      <rPr>
        <sz val="12"/>
        <color theme="4" tint="-0.499984740745262"/>
        <rFont val="BFU Suisse"/>
        <family val="2"/>
      </rPr>
      <t>(oui/non)</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selon la liste</t>
    </r>
  </si>
  <si>
    <r>
      <rPr>
        <b/>
        <sz val="12"/>
        <color theme="4" tint="-0.499984740745262"/>
        <rFont val="BFU Suisse"/>
        <family val="2"/>
      </rPr>
      <t xml:space="preserve">Géométrie </t>
    </r>
    <r>
      <rPr>
        <b/>
        <sz val="12"/>
        <color theme="4" tint="-0.499984740745262"/>
        <rFont val="BFU Suisse"/>
        <family val="2"/>
      </rPr>
      <t xml:space="preserve">
</t>
    </r>
    <r>
      <rPr>
        <sz val="12"/>
        <color theme="4" tint="-0.499984740745262"/>
        <rFont val="BFU Suisse"/>
        <family val="2"/>
      </rPr>
      <t>(oui/non)</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selon la liste</t>
    </r>
  </si>
  <si>
    <r>
      <rPr>
        <b/>
        <sz val="12"/>
        <color theme="4" tint="-0.499984740745262"/>
        <rFont val="BFU Suisse"/>
        <family val="2"/>
      </rPr>
      <t>Signalisation</t>
    </r>
    <r>
      <rPr>
        <b/>
        <sz val="12"/>
        <color theme="4" tint="-0.499984740745262"/>
        <rFont val="BFU Suisse"/>
        <family val="2"/>
      </rPr>
      <t xml:space="preserve">
</t>
    </r>
    <r>
      <rPr>
        <sz val="12"/>
        <color theme="4" tint="-0.499984740745262"/>
        <rFont val="BFU Suisse"/>
        <family val="2"/>
      </rPr>
      <t>(oui/non)</t>
    </r>
    <r>
      <rPr>
        <b/>
        <sz val="12"/>
        <color theme="4" tint="-0.499984740745262"/>
        <rFont val="BFU Suisse"/>
        <family val="2"/>
      </rPr>
      <t xml:space="preserve">
</t>
    </r>
    <r>
      <rPr>
        <b/>
        <sz val="12"/>
        <color theme="4" tint="-0.499984740745262"/>
        <rFont val="BFU Suisse"/>
        <family val="2"/>
      </rPr>
      <t xml:space="preserve">
</t>
    </r>
    <r>
      <rPr>
        <i/>
        <sz val="12"/>
        <color theme="4" tint="-0.499984740745262"/>
        <rFont val="BFU Suisse"/>
        <family val="2"/>
      </rPr>
      <t xml:space="preserve">selon la liste </t>
    </r>
  </si>
  <si>
    <r>
      <rPr>
        <b/>
        <sz val="12"/>
        <color theme="3"/>
        <rFont val="BFU Suisse"/>
        <family val="2"/>
      </rPr>
      <t xml:space="preserve">
</t>
    </r>
    <r>
      <rPr>
        <b/>
        <sz val="12"/>
        <color theme="3"/>
        <rFont val="BFU Suisse"/>
        <family val="2"/>
      </rPr>
      <t>Évaluation des endroits particulièrement complexes</t>
    </r>
  </si>
  <si>
    <r>
      <rPr>
        <b/>
        <sz val="12"/>
        <color theme="3"/>
        <rFont val="BFU Suisse"/>
        <family val="2"/>
      </rPr>
      <t>Degré de criticité du tronçon</t>
    </r>
  </si>
  <si>
    <r>
      <rPr>
        <b/>
        <sz val="12"/>
        <color theme="3"/>
        <rFont val="BFU Suisse"/>
        <family val="2"/>
      </rPr>
      <t xml:space="preserve">Tronçon concerné </t>
    </r>
    <r>
      <rPr>
        <b/>
        <sz val="12"/>
        <color theme="3"/>
        <rFont val="BFU Suisse"/>
        <family val="2"/>
      </rPr>
      <t xml:space="preserve">
</t>
    </r>
    <r>
      <rPr>
        <b/>
        <sz val="12"/>
        <color theme="3"/>
        <rFont val="BFU Suisse"/>
        <family val="2"/>
      </rPr>
      <t>(voir étape 2)</t>
    </r>
  </si>
  <si>
    <r>
      <rPr>
        <b/>
        <sz val="12"/>
        <color theme="3"/>
        <rFont val="BFU Suisse"/>
        <family val="2"/>
      </rPr>
      <t xml:space="preserve">Preuve suffisante </t>
    </r>
    <r>
      <rPr>
        <b/>
        <sz val="12"/>
        <color theme="3"/>
        <rFont val="BFU Suisse"/>
        <family val="2"/>
      </rPr>
      <t xml:space="preserve">
</t>
    </r>
    <r>
      <rPr>
        <sz val="12"/>
        <color theme="3"/>
        <rFont val="BFU Suisse"/>
        <family val="2"/>
      </rPr>
      <t>(oui/non)</t>
    </r>
  </si>
  <si>
    <t xml:space="preserve">Examen de la demande d’autorisation de circulation sur un tronçon L4 </t>
  </si>
  <si>
    <r>
      <t xml:space="preserve">1) évaluation du respect des </t>
    </r>
    <r>
      <rPr>
        <b/>
        <sz val="10"/>
        <color rgb="FF009999"/>
        <rFont val="BFU Suisse"/>
        <family val="2"/>
      </rPr>
      <t>conditions techniques ou liées à l’exploitation</t>
    </r>
  </si>
  <si>
    <r>
      <t xml:space="preserve">3) évaluation de la </t>
    </r>
    <r>
      <rPr>
        <b/>
        <sz val="10"/>
        <color rgb="FF009999"/>
        <rFont val="BFU Suisse"/>
        <family val="2"/>
      </rPr>
      <t>capacité à assumer la conduite dans les conditions d’exploitation</t>
    </r>
    <r>
      <rPr>
        <sz val="10"/>
        <rFont val="BFU Suisse"/>
        <family val="2"/>
      </rPr>
      <t xml:space="preserve"> concernées</t>
    </r>
  </si>
  <si>
    <r>
      <t>2) évaluation de l’</t>
    </r>
    <r>
      <rPr>
        <b/>
        <sz val="10"/>
        <color rgb="FF009999"/>
        <rFont val="BFU Suisse"/>
        <family val="2"/>
      </rPr>
      <t xml:space="preserve">adéquation du tronçon soumis </t>
    </r>
    <r>
      <rPr>
        <sz val="10"/>
        <color theme="1"/>
        <rFont val="BFU Suisse"/>
        <family val="2"/>
      </rPr>
      <t>(sur la base d’une évaluation du degré de criticité)</t>
    </r>
  </si>
  <si>
    <t>Illustration 1: Déroulement de l’évaluation matérielle</t>
  </si>
  <si>
    <r>
      <rPr>
        <b/>
        <sz val="20"/>
        <color theme="1"/>
        <rFont val="BFU Suisse"/>
        <family val="2"/>
      </rPr>
      <t>Étape 1: évaluation du respect des conditions techniques ou liées à l’exploitation</t>
    </r>
    <r>
      <rPr>
        <sz val="8"/>
        <color theme="1"/>
        <rFont val="BFU Suisse"/>
        <family val="2"/>
      </rPr>
      <t xml:space="preserve">
(conformément à l’art. 43, al. 3, let. d-g, OCAut et à l’art. 45, al. 1, let. d-f, OCAut)</t>
    </r>
  </si>
  <si>
    <r>
      <t xml:space="preserve">Question pour l’évaluation:
</t>
    </r>
    <r>
      <rPr>
        <sz val="10"/>
        <color theme="0"/>
        <rFont val="BFU Suisse"/>
        <family val="2"/>
      </rPr>
      <t>Les documents suivants figurent-ils dans la demande?</t>
    </r>
  </si>
  <si>
    <r>
      <rPr>
        <b/>
        <sz val="9"/>
        <color theme="4"/>
        <rFont val="BFU Suisse"/>
        <family val="2"/>
      </rPr>
      <t>Certificat de conformité européen</t>
    </r>
    <r>
      <rPr>
        <sz val="9"/>
        <color theme="1"/>
        <rFont val="BFU Suisse"/>
        <family val="2"/>
      </rPr>
      <t xml:space="preserve"> du ou des véhicules selon le règlement (UE) 2018/858</t>
    </r>
  </si>
  <si>
    <r>
      <t xml:space="preserve">Action recommandée
</t>
    </r>
    <r>
      <rPr>
        <sz val="10"/>
        <color theme="0"/>
        <rFont val="BFU Suisse"/>
        <family val="2"/>
      </rPr>
      <t xml:space="preserve"> (automatique)</t>
    </r>
  </si>
  <si>
    <t xml:space="preserve"> Art. 43, al. 3, let. f, OCAut</t>
  </si>
  <si>
    <t>Conditions assorties A</t>
  </si>
  <si>
    <r>
      <rPr>
        <sz val="9"/>
        <color theme="1"/>
        <rFont val="BFU Suisse"/>
        <family val="2"/>
      </rPr>
      <t>Le bloc d’évaluation suivant porte sur l’</t>
    </r>
    <r>
      <rPr>
        <b/>
        <sz val="9"/>
        <color theme="1"/>
        <rFont val="BFU Suisse"/>
        <family val="2"/>
      </rPr>
      <t xml:space="preserve">art. 43, al. 3, let. f OCAut: 
</t>
    </r>
    <r>
      <rPr>
        <i/>
        <sz val="9"/>
        <rFont val="BFU Suisse"/>
        <family val="2"/>
      </rPr>
      <t>«La demande doit comprendre le certificat de conformité européen du ou des véhicules selon le règlement (UE) 2018/858 et l’annexe de la réception par type comportant les informations détaillées sur le système d’automatisation.</t>
    </r>
    <r>
      <rPr>
        <i/>
        <sz val="9"/>
        <color theme="1"/>
        <rFont val="BFU Suisse"/>
        <family val="2"/>
      </rPr>
      <t>»</t>
    </r>
    <r>
      <rPr>
        <b/>
        <sz val="9"/>
        <color theme="1"/>
        <rFont val="BFU Suisse"/>
        <family val="2"/>
      </rPr>
      <t xml:space="preserve">
</t>
    </r>
    <r>
      <rPr>
        <sz val="9"/>
        <color theme="1"/>
        <rFont val="BFU Suisse"/>
        <family val="2"/>
      </rPr>
      <t xml:space="preserve">Il s’agit de déterminer si la réception par type conformément au règlement (UE) 2018/858 et l’autorisation (partielle) correspondante des systèmes d’automatisation existent bien.  </t>
    </r>
  </si>
  <si>
    <r>
      <rPr>
        <sz val="9"/>
        <rFont val="BFU Suisse"/>
        <family val="2"/>
      </rPr>
      <t>Le bloc d’évaluation suivant porte sur l’</t>
    </r>
    <r>
      <rPr>
        <b/>
        <sz val="9"/>
        <rFont val="BFU Suisse"/>
        <family val="2"/>
      </rPr>
      <t xml:space="preserve">art. 43, al. 3, let. g, OCAut: 
</t>
    </r>
    <r>
      <rPr>
        <i/>
        <sz val="9"/>
        <rFont val="BFU Suisse"/>
        <family val="2"/>
      </rPr>
      <t>«La demande doit comprendre les déclarations de consentement des parties soumises à l’obligation de notifier et de renseigner (art. 13, al. 3 et 4, et art. 14, al. 1 à 3) concernant la transmission à l’OFROU, dans les délais, des informations correspondantes.»</t>
    </r>
    <r>
      <rPr>
        <b/>
        <sz val="9"/>
        <rFont val="BFU Suisse"/>
        <family val="2"/>
      </rPr>
      <t xml:space="preserve">
</t>
    </r>
    <r>
      <rPr>
        <sz val="9"/>
        <rFont val="BFU Suisse"/>
        <family val="2"/>
      </rPr>
      <t xml:space="preserve">Il s’agit d’évaluer si les aspects mentionnés à l’art. 13, al. 3 et 4, ainsi qu’à l’art. 14, al. 1 à 3, sont traités dans la déclaration de consentement.  </t>
    </r>
  </si>
  <si>
    <t>Art. 13, al. 3, OCAut</t>
  </si>
  <si>
    <t>Art. 13, al. 4, let. b, OCAut</t>
  </si>
  <si>
    <t>Art. 13, al. 4, let. a, OCAut</t>
  </si>
  <si>
    <t>Art. 14, al. 1, OCAut
Art. 14, al. 2, let. a, OCAut</t>
  </si>
  <si>
    <t>sûr</t>
  </si>
  <si>
    <t>Restriction des heures d’exploitation</t>
  </si>
  <si>
    <t>3 - Concept relatif à l’opérateur·rice et concept d’exploitation</t>
  </si>
  <si>
    <t>Art. 38, al. 3, let. b, OCAut</t>
  </si>
  <si>
    <t>Art. 43, al. 3, let. e, OCAut</t>
  </si>
  <si>
    <r>
      <t>La demande comprend un</t>
    </r>
    <r>
      <rPr>
        <b/>
        <sz val="9"/>
        <color theme="1"/>
        <rFont val="BFU Suisse"/>
        <family val="2"/>
      </rPr>
      <t xml:space="preserve"> concept d’exploitation</t>
    </r>
    <r>
      <rPr>
        <sz val="9"/>
        <color theme="1"/>
        <rFont val="BFU Suisse"/>
        <family val="2"/>
      </rPr>
      <t xml:space="preserve"> pour le</t>
    </r>
    <r>
      <rPr>
        <sz val="9"/>
        <color theme="4"/>
        <rFont val="BFU Suisse"/>
        <family val="2"/>
      </rPr>
      <t xml:space="preserve"> </t>
    </r>
    <r>
      <rPr>
        <b/>
        <sz val="9"/>
        <color theme="4"/>
        <rFont val="BFU Suisse"/>
        <family val="2"/>
      </rPr>
      <t>recours à des opérateur·rices</t>
    </r>
    <r>
      <rPr>
        <sz val="9"/>
        <rFont val="BFU Suisse"/>
        <family val="2"/>
      </rPr>
      <t xml:space="preserve"> et la </t>
    </r>
    <r>
      <rPr>
        <b/>
        <sz val="9"/>
        <rFont val="BFU Suisse"/>
        <family val="2"/>
      </rPr>
      <t>déclaration</t>
    </r>
    <r>
      <rPr>
        <sz val="9"/>
        <color theme="4"/>
        <rFont val="BFU Suisse"/>
        <family val="2"/>
      </rPr>
      <t xml:space="preserve"> </t>
    </r>
    <r>
      <rPr>
        <sz val="9"/>
        <rFont val="BFU Suisse"/>
        <family val="2"/>
      </rPr>
      <t>du·de la futur·e détenteur·rice du véhicule précisant</t>
    </r>
    <r>
      <rPr>
        <b/>
        <sz val="9"/>
        <color theme="4"/>
        <rFont val="BFU Suisse"/>
        <family val="2"/>
      </rPr>
      <t xml:space="preserve"> comment les conditions concernant les moyens humains et matériels seront réunies</t>
    </r>
    <r>
      <rPr>
        <sz val="9"/>
        <color theme="4"/>
        <rFont val="BFU Suisse"/>
        <family val="2"/>
      </rPr>
      <t>.</t>
    </r>
  </si>
  <si>
    <r>
      <t>La</t>
    </r>
    <r>
      <rPr>
        <sz val="9"/>
        <color theme="4"/>
        <rFont val="BFU Suisse"/>
        <family val="2"/>
      </rPr>
      <t xml:space="preserve"> </t>
    </r>
    <r>
      <rPr>
        <b/>
        <sz val="9"/>
        <rFont val="BFU Suisse"/>
        <family val="2"/>
      </rPr>
      <t>déclaration</t>
    </r>
    <r>
      <rPr>
        <sz val="9"/>
        <color theme="1"/>
        <rFont val="BFU Suisse"/>
        <family val="2"/>
      </rPr>
      <t xml:space="preserve"> du·de la futur·e détenteur·rice du véhicule </t>
    </r>
    <r>
      <rPr>
        <sz val="9"/>
        <color theme="4"/>
        <rFont val="BFU Suisse"/>
        <family val="2"/>
      </rPr>
      <t>quant au respect des conditions concernant les moyens humains et matériels est compréhensible / convaincante / suffisante.</t>
    </r>
  </si>
  <si>
    <t>Art. 45, al. 1, let. d, OCAut</t>
  </si>
  <si>
    <r>
      <rPr>
        <i/>
        <sz val="9"/>
        <color theme="1"/>
        <rFont val="BFU Suisse"/>
        <family val="2"/>
      </rPr>
      <t>Concerne: qualifications suffisantes</t>
    </r>
    <r>
      <rPr>
        <sz val="9"/>
        <color theme="1"/>
        <rFont val="BFU Suisse"/>
        <family val="2"/>
      </rPr>
      <t xml:space="preserve">
Les </t>
    </r>
    <r>
      <rPr>
        <b/>
        <sz val="9"/>
        <color theme="4"/>
        <rFont val="BFU Suisse"/>
        <family val="2"/>
      </rPr>
      <t>opérateur·rices sont suffisamment qualifié·es</t>
    </r>
    <r>
      <rPr>
        <sz val="9"/>
        <color theme="1"/>
        <rFont val="BFU Suisse"/>
        <family val="2"/>
      </rPr>
      <t xml:space="preserve">. 
</t>
    </r>
    <r>
      <rPr>
        <i/>
        <sz val="9"/>
        <color theme="1"/>
        <rFont val="BFU Suisse"/>
        <family val="2"/>
      </rPr>
      <t>L’exigence est évaluée sur la base des questions suivantes (3.4.1-3.4.3).</t>
    </r>
    <r>
      <rPr>
        <sz val="9"/>
        <color theme="1"/>
        <rFont val="BFU Suisse"/>
        <family val="2"/>
      </rPr>
      <t xml:space="preserve"> </t>
    </r>
  </si>
  <si>
    <r>
      <t xml:space="preserve">Il est </t>
    </r>
    <r>
      <rPr>
        <b/>
        <sz val="9"/>
        <color theme="1"/>
        <rFont val="BFU Suisse"/>
        <family val="2"/>
      </rPr>
      <t>prouvé</t>
    </r>
    <r>
      <rPr>
        <sz val="9"/>
        <color theme="1"/>
        <rFont val="BFU Suisse"/>
        <family val="2"/>
      </rPr>
      <t xml:space="preserve"> que tou·tes les opérateur·rices prévu·es ont suivi une</t>
    </r>
    <r>
      <rPr>
        <b/>
        <sz val="9"/>
        <color theme="4"/>
        <rFont val="BFU Suisse"/>
        <family val="2"/>
      </rPr>
      <t xml:space="preserve"> formation relative au système </t>
    </r>
    <r>
      <rPr>
        <sz val="9"/>
        <rFont val="BFU Suisse"/>
        <family val="2"/>
      </rPr>
      <t xml:space="preserve">ou </t>
    </r>
    <r>
      <rPr>
        <sz val="9"/>
        <color theme="1"/>
        <rFont val="BFU Suisse"/>
        <family val="2"/>
      </rPr>
      <t xml:space="preserve">il est confirmé que tou·tes les opérateur·rices qui seront recruté·es suivront cette formation. </t>
    </r>
  </si>
  <si>
    <t>Art. 45, al. 1, let. d, OCAut
Art. 36, al. 1, let. c, OCAut</t>
  </si>
  <si>
    <t>Art. 34, al. 4, OCAut</t>
  </si>
  <si>
    <t>Si non: stopper</t>
  </si>
  <si>
    <r>
      <t xml:space="preserve">Le </t>
    </r>
    <r>
      <rPr>
        <b/>
        <sz val="9"/>
        <color theme="4"/>
        <rFont val="BFU Suisse"/>
        <family val="2"/>
      </rPr>
      <t>lieu de travail</t>
    </r>
    <r>
      <rPr>
        <sz val="9"/>
        <color theme="1"/>
        <rFont val="BFU Suisse"/>
        <family val="2"/>
      </rPr>
      <t xml:space="preserve"> des opérateur·rices</t>
    </r>
    <r>
      <rPr>
        <sz val="9"/>
        <color theme="4"/>
        <rFont val="BFU Suisse"/>
        <family val="2"/>
      </rPr>
      <t xml:space="preserve"> se trouve en Suisse. </t>
    </r>
  </si>
  <si>
    <r>
      <t xml:space="preserve">La description est </t>
    </r>
    <r>
      <rPr>
        <sz val="9"/>
        <color theme="4"/>
        <rFont val="BFU Suisse"/>
        <family val="2"/>
      </rPr>
      <t>compréhensible / convaincante / suffisante</t>
    </r>
    <r>
      <rPr>
        <sz val="9"/>
        <rFont val="BFU Suisse"/>
        <family val="2"/>
      </rPr>
      <t>.</t>
    </r>
  </si>
  <si>
    <t>Art. 38, al. 3, let. d, OCAut</t>
  </si>
  <si>
    <t>Art. 38, al. 3, let. d, OCAut
Art. 38, al. 3, let. e, OCAut
Art. 36 OCAut</t>
  </si>
  <si>
    <r>
      <rPr>
        <i/>
        <sz val="9"/>
        <rFont val="BFU Suisse"/>
        <family val="2"/>
      </rPr>
      <t>Concerne: garantie de la capacité de conduire et de la sobriété durant l’exercice de l’activité</t>
    </r>
    <r>
      <rPr>
        <sz val="9"/>
        <rFont val="BFU Suisse"/>
        <family val="2"/>
      </rPr>
      <t xml:space="preserve">
La description est </t>
    </r>
    <r>
      <rPr>
        <sz val="9"/>
        <color theme="4"/>
        <rFont val="BFU Suisse"/>
        <family val="2"/>
      </rPr>
      <t>compréhensible / convaincante / suffisante.</t>
    </r>
  </si>
  <si>
    <r>
      <t xml:space="preserve">Exigences
</t>
    </r>
    <r>
      <rPr>
        <sz val="12"/>
        <color theme="0"/>
        <rFont val="BFU Suisse"/>
        <family val="2"/>
      </rPr>
      <t>Conditions relatives à l’organisation du travail 
pour l’accomplissement fiable des tâches</t>
    </r>
  </si>
  <si>
    <r>
      <rPr>
        <i/>
        <sz val="9"/>
        <color theme="1"/>
        <rFont val="BFU Suisse"/>
        <family val="2"/>
      </rPr>
      <t>Concerne: gestion de la fatigue et réglementation des pauses</t>
    </r>
    <r>
      <rPr>
        <sz val="9"/>
        <color theme="1"/>
        <rFont val="BFU Suisse"/>
        <family val="2"/>
      </rPr>
      <t xml:space="preserve">
</t>
    </r>
    <r>
      <rPr>
        <i/>
        <sz val="9"/>
        <color theme="1"/>
        <rFont val="BFU Suisse"/>
        <family val="2"/>
      </rPr>
      <t>Une surveillance continue fiable, sans baisse de performance, n’est possible que pendant un temps limité.</t>
    </r>
    <r>
      <rPr>
        <sz val="9"/>
        <color theme="1"/>
        <rFont val="BFU Suisse"/>
        <family val="2"/>
      </rPr>
      <t xml:space="preserve">
La demande d’autorisation décrit comment, grâce à une </t>
    </r>
    <r>
      <rPr>
        <b/>
        <sz val="9"/>
        <color theme="4"/>
        <rFont val="BFU Suisse"/>
        <family val="2"/>
      </rPr>
      <t xml:space="preserve">réglementation appropriée portant principalement sur le temps de travail, les pauses et éventuellement d’autres mesures organisationnelles </t>
    </r>
    <r>
      <rPr>
        <sz val="9"/>
        <color theme="4"/>
        <rFont val="BFU Suisse"/>
        <family val="2"/>
      </rPr>
      <t>(p. ex. systèmes d’assistance technique, conception des tâches)</t>
    </r>
    <r>
      <rPr>
        <sz val="9"/>
        <color theme="1"/>
        <rFont val="BFU Suisse"/>
        <family val="2"/>
      </rPr>
      <t xml:space="preserve">, il est garanti que les opérateur·rices peuvent s’acquitter de leurs </t>
    </r>
    <r>
      <rPr>
        <sz val="9"/>
        <color theme="4"/>
        <rFont val="BFU Suisse"/>
        <family val="2"/>
      </rPr>
      <t>tâches de surveillance de manière fiable et durable</t>
    </r>
    <r>
      <rPr>
        <sz val="9"/>
        <color theme="1"/>
        <rFont val="BFU Suisse"/>
        <family val="2"/>
      </rPr>
      <t xml:space="preserve">.
</t>
    </r>
    <r>
      <rPr>
        <i/>
        <u/>
        <sz val="9"/>
        <color theme="1"/>
        <rFont val="BFU Suisse"/>
        <family val="2"/>
      </rPr>
      <t xml:space="preserve">
Indications pour l’évaluation:</t>
    </r>
    <r>
      <rPr>
        <i/>
        <sz val="9"/>
        <color theme="1"/>
        <rFont val="BFU Suisse"/>
        <family val="2"/>
      </rPr>
      <t xml:space="preserve"> 
Les interruptions de travail permettent de récupérer de la fatigue. On privilégiera les pauses, qui limitent la fatigue. Il est par exemple préférable de prendre fréquemment de courtes pauses plutôt que de longues pauses plus rares. Les performances sont plus faibles la nuit que le jour. Par conséquent, lors du travail de nuit, les exigences de performance devraient être réduites par rapport à la journée, par exemple en augmentant le personnel ou en réduisant la durée des périodes de travail entre les pauses / en augmentant le nombre de pauses. Recommandation courante: 5-10 minutes de pause après 60-90 minutes de surveillance concentrée.
(d’après ISO 10075-2, ISO 11064)</t>
    </r>
  </si>
  <si>
    <r>
      <t xml:space="preserve">Les règles relatives à la gestion de la fatigue et à la réglementation des pauses sont </t>
    </r>
    <r>
      <rPr>
        <sz val="9"/>
        <color theme="4"/>
        <rFont val="BFU Suisse"/>
        <family val="2"/>
      </rPr>
      <t>compréhensibles / convaincantes / suffisantes.</t>
    </r>
  </si>
  <si>
    <r>
      <t xml:space="preserve">Les règles relatives au </t>
    </r>
    <r>
      <rPr>
        <b/>
        <sz val="9"/>
        <color theme="4"/>
        <rFont val="BFU Suisse"/>
        <family val="2"/>
      </rPr>
      <t>temps de travail</t>
    </r>
    <r>
      <rPr>
        <sz val="9"/>
        <color theme="1"/>
        <rFont val="BFU Suisse"/>
        <family val="2"/>
      </rPr>
      <t xml:space="preserve"> sont </t>
    </r>
    <r>
      <rPr>
        <sz val="9"/>
        <color theme="4"/>
        <rFont val="BFU Suisse"/>
        <family val="2"/>
      </rPr>
      <t>compréhensibles / convaincantes / suffisantes.</t>
    </r>
  </si>
  <si>
    <r>
      <rPr>
        <i/>
        <sz val="9"/>
        <color theme="1"/>
        <rFont val="BFU Suisse"/>
        <family val="2"/>
      </rPr>
      <t>Concerne: temps de travail — travail de nuit</t>
    </r>
    <r>
      <rPr>
        <sz val="9"/>
        <color theme="1"/>
        <rFont val="BFU Suisse"/>
        <family val="2"/>
      </rPr>
      <t xml:space="preserve">
Pour les </t>
    </r>
    <r>
      <rPr>
        <b/>
        <sz val="9"/>
        <color theme="4"/>
        <rFont val="BFU Suisse"/>
        <family val="2"/>
      </rPr>
      <t>interventions nocturnes</t>
    </r>
    <r>
      <rPr>
        <sz val="9"/>
        <color theme="1"/>
        <rFont val="BFU Suisse"/>
        <family val="2"/>
      </rPr>
      <t>, il est expliqué comment il est tenu compte</t>
    </r>
    <r>
      <rPr>
        <sz val="9"/>
        <rFont val="BFU Suisse"/>
        <family val="2"/>
      </rPr>
      <t xml:space="preserve"> de la </t>
    </r>
    <r>
      <rPr>
        <sz val="9"/>
        <color theme="4"/>
        <rFont val="BFU Suisse"/>
        <family val="2"/>
      </rPr>
      <t>plus grande sensibilité à la fatigue</t>
    </r>
    <r>
      <rPr>
        <sz val="9"/>
        <color theme="1"/>
        <rFont val="BFU Suisse"/>
        <family val="2"/>
      </rPr>
      <t xml:space="preserve">. 
</t>
    </r>
    <r>
      <rPr>
        <i/>
        <u/>
        <sz val="9"/>
        <color theme="1"/>
        <rFont val="BFU Suisse"/>
        <family val="2"/>
      </rPr>
      <t xml:space="preserve">Indications pour l’évaluation: </t>
    </r>
    <r>
      <rPr>
        <i/>
        <sz val="9"/>
        <color theme="1"/>
        <rFont val="BFU Suisse"/>
        <family val="2"/>
      </rPr>
      <t xml:space="preserve">
Le travail de nuit nécessite des mesures de protection particulières. Lors du travail de nuit (de 22 h à 6 h), la fatigue croît plus rapidement, les performances diminuent, les erreurs et le temps de réaction augmentent. On peut y remédier, par exemple en limitant la durée des périodes de travail (idéalement ≤ 8 heures), en ajoutant des pauses, en réduisant le nombre d’interventions de nuit par semaine et par personne ou en utilisant une assistance technique complémentaire. (d’après ISO 10075-2)</t>
    </r>
  </si>
  <si>
    <r>
      <t xml:space="preserve">Les règles relatives au </t>
    </r>
    <r>
      <rPr>
        <b/>
        <sz val="9"/>
        <color theme="4"/>
        <rFont val="BFU Suisse"/>
        <family val="2"/>
      </rPr>
      <t>travail de nuit</t>
    </r>
    <r>
      <rPr>
        <sz val="9"/>
        <color theme="1"/>
        <rFont val="BFU Suisse"/>
        <family val="2"/>
      </rPr>
      <t xml:space="preserve"> sont </t>
    </r>
    <r>
      <rPr>
        <sz val="9"/>
        <color theme="4"/>
        <rFont val="BFU Suisse"/>
        <family val="2"/>
      </rPr>
      <t xml:space="preserve">compréhensibles / convaincantes / suffisantes. </t>
    </r>
  </si>
  <si>
    <r>
      <rPr>
        <i/>
        <sz val="9"/>
        <color theme="1"/>
        <rFont val="BFU Suisse"/>
        <family val="2"/>
      </rPr>
      <t>Concerne: temps de travail — travail par équipes</t>
    </r>
    <r>
      <rPr>
        <sz val="9"/>
        <color theme="1"/>
        <rFont val="BFU Suisse"/>
        <family val="2"/>
      </rPr>
      <t xml:space="preserve">
En cas de </t>
    </r>
    <r>
      <rPr>
        <b/>
        <sz val="9"/>
        <color theme="4"/>
        <rFont val="BFU Suisse"/>
        <family val="2"/>
      </rPr>
      <t>travail par équipes</t>
    </r>
    <r>
      <rPr>
        <sz val="9"/>
        <color theme="1"/>
        <rFont val="BFU Suisse"/>
        <family val="2"/>
      </rPr>
      <t xml:space="preserve">, il est expliqué comment </t>
    </r>
    <r>
      <rPr>
        <sz val="9"/>
        <color theme="4"/>
        <rFont val="BFU Suisse"/>
        <family val="2"/>
      </rPr>
      <t xml:space="preserve">éviter la fatigue cumulative </t>
    </r>
    <r>
      <rPr>
        <sz val="9"/>
        <color theme="1"/>
        <rFont val="BFU Suisse"/>
        <family val="2"/>
      </rPr>
      <t xml:space="preserve">sur plusieurs services, par exemple au moyen de temps de repos suffisants, en limitant les périodes de travail exigeantes consécutives ou grâce à d’autres mesures similaires.
</t>
    </r>
    <r>
      <rPr>
        <i/>
        <u/>
        <sz val="9"/>
        <color theme="1"/>
        <rFont val="BFU Suisse"/>
        <family val="2"/>
      </rPr>
      <t>Indications pour l’évaluation:</t>
    </r>
    <r>
      <rPr>
        <i/>
        <sz val="9"/>
        <color theme="1"/>
        <rFont val="BFU Suisse"/>
        <family val="2"/>
      </rPr>
      <t xml:space="preserve">
La fatigue cumulative peut être évitée en organisant de manière appropriée la succession des périodes de travail et des temps de repos. Par exemple:
- temps de repos suffisants entre deux périodes de travail (p. ex. au moins 11 heures) 
- limiter le nombre de périodes de travail exigeantes consécutives (p. ex. au maximum 3 à 5 services de nuit consécutifs) 
- éviter les changements rapides entre les postes du matin et du soir
- jours de congé réguliers pour récupérer (p. ex. au moins un jour de congé après plusieurs services de nuit)
- systèmes de rotation des équipes en sens horaire (matin → soir → nuit), mieux tolérés que les rotations inverses
(d’après ISO 10075-2)</t>
    </r>
  </si>
  <si>
    <r>
      <t xml:space="preserve">Les règles relatives au </t>
    </r>
    <r>
      <rPr>
        <b/>
        <sz val="9"/>
        <color theme="4"/>
        <rFont val="BFU Suisse"/>
        <family val="2"/>
      </rPr>
      <t>travail par équipes</t>
    </r>
    <r>
      <rPr>
        <sz val="9"/>
        <color theme="1"/>
        <rFont val="BFU Suisse"/>
        <family val="2"/>
      </rPr>
      <t xml:space="preserve"> sont </t>
    </r>
    <r>
      <rPr>
        <sz val="9"/>
        <color theme="4"/>
        <rFont val="BFU Suisse"/>
        <family val="2"/>
      </rPr>
      <t>compréhensibles / convaincantes / suffisantes.</t>
    </r>
  </si>
  <si>
    <t>Art. 43, al. 3, let. e, OCAut
Art. 38, al. 6, OCAut</t>
  </si>
  <si>
    <t>Art. 38, al. 6, OCAut</t>
  </si>
  <si>
    <r>
      <rPr>
        <i/>
        <sz val="9"/>
        <color theme="1"/>
        <rFont val="BFU Suisse"/>
        <family val="2"/>
      </rPr>
      <t>Concerne: clarification des rôles et des responsabilités</t>
    </r>
    <r>
      <rPr>
        <sz val="9"/>
        <color theme="1"/>
        <rFont val="BFU Suisse"/>
        <family val="2"/>
      </rPr>
      <t xml:space="preserve">
La demande d’autorisation décrit </t>
    </r>
    <r>
      <rPr>
        <b/>
        <sz val="9"/>
        <color theme="4"/>
        <rFont val="BFU Suisse"/>
        <family val="2"/>
      </rPr>
      <t>le rôle et le pouvoir de décision</t>
    </r>
    <r>
      <rPr>
        <sz val="9"/>
        <color theme="1"/>
        <rFont val="BFU Suisse"/>
        <family val="2"/>
      </rPr>
      <t xml:space="preserve"> des opérateur·rices lors du </t>
    </r>
    <r>
      <rPr>
        <sz val="9"/>
        <color theme="4"/>
        <rFont val="BFU Suisse"/>
        <family val="2"/>
      </rPr>
      <t>fonctionnement normal</t>
    </r>
    <r>
      <rPr>
        <sz val="9"/>
        <color theme="1"/>
        <rFont val="BFU Suisse"/>
        <family val="2"/>
      </rPr>
      <t xml:space="preserve"> ainsi que dans les situations </t>
    </r>
    <r>
      <rPr>
        <sz val="9"/>
        <color theme="4"/>
        <rFont val="BFU Suisse"/>
        <family val="2"/>
      </rPr>
      <t>exceptionnelles ou de perturbation</t>
    </r>
    <r>
      <rPr>
        <sz val="9"/>
        <rFont val="BFU Suisse"/>
        <family val="2"/>
      </rPr>
      <t xml:space="preserve">. </t>
    </r>
    <r>
      <rPr>
        <sz val="9"/>
        <color theme="1"/>
        <rFont val="BFU Suisse"/>
        <family val="2"/>
      </rPr>
      <t xml:space="preserve">
</t>
    </r>
    <r>
      <rPr>
        <i/>
        <u/>
        <sz val="9"/>
        <color theme="1"/>
        <rFont val="BFU Suisse"/>
        <family val="2"/>
      </rPr>
      <t xml:space="preserve">Indications pour l’évaluation: </t>
    </r>
    <r>
      <rPr>
        <i/>
        <sz val="9"/>
        <color theme="1"/>
        <rFont val="BFU Suisse"/>
        <family val="2"/>
      </rPr>
      <t xml:space="preserve">
- Une répartition claire des rôles et des tâches existe, en particulier pour la gestion des perturbations, des urgences ou des défaillances du système.
- Les compétences pour le recours à des organismes externes (p. ex. service de dépannage, police, services de secours) sont définies.
- La collaboration avec les postes internes spécialisés (p. ex. équipe de dépannage, direction des opérations, centre technique) est décrite.
- Les circuits décisionnels sont clairement documentés, y compris les mécanismes/procédures pour faire remonter un problème.
(d’après ISO 11064)</t>
    </r>
  </si>
  <si>
    <r>
      <t xml:space="preserve">Exigences
</t>
    </r>
    <r>
      <rPr>
        <sz val="12"/>
        <color theme="0"/>
        <rFont val="BFU Suisse"/>
        <family val="2"/>
      </rPr>
      <t xml:space="preserve"> Accès aux informations et disponibilité des données</t>
    </r>
  </si>
  <si>
    <r>
      <rPr>
        <i/>
        <sz val="9"/>
        <color theme="1"/>
        <rFont val="BFU Suisse"/>
        <family val="2"/>
      </rPr>
      <t>Concerne: accès en tout temps</t>
    </r>
    <r>
      <rPr>
        <sz val="9"/>
        <color theme="1"/>
        <rFont val="BFU Suisse"/>
        <family val="2"/>
      </rPr>
      <t xml:space="preserve">
Une preuve de </t>
    </r>
    <r>
      <rPr>
        <b/>
        <sz val="9"/>
        <color theme="4"/>
        <rFont val="BFU Suisse"/>
        <family val="2"/>
      </rPr>
      <t>redondance(s) technique(s)</t>
    </r>
    <r>
      <rPr>
        <sz val="9"/>
        <color theme="1"/>
        <rFont val="BFU Suisse"/>
        <family val="2"/>
      </rPr>
      <t>, c’est-à-dire de possibilités d’accès alternatives, en cas de défaillance d’un canal d’information est fournie</t>
    </r>
    <r>
      <rPr>
        <sz val="9"/>
        <rFont val="BFU Suisse"/>
        <family val="2"/>
      </rPr>
      <t>. L’</t>
    </r>
    <r>
      <rPr>
        <sz val="9"/>
        <color theme="1"/>
        <rFont val="BFU Suisse"/>
        <family val="2"/>
      </rPr>
      <t xml:space="preserve">efficacité de la solution est prouvée. </t>
    </r>
  </si>
  <si>
    <r>
      <rPr>
        <i/>
        <sz val="9"/>
        <rFont val="BFU Suisse"/>
        <family val="2"/>
      </rPr>
      <t xml:space="preserve">Concerne: accès approprié aux informations nécessaires </t>
    </r>
    <r>
      <rPr>
        <sz val="9"/>
        <rFont val="BFU Suisse"/>
        <family val="2"/>
      </rPr>
      <t xml:space="preserve">
Une</t>
    </r>
    <r>
      <rPr>
        <b/>
        <sz val="9"/>
        <color theme="4"/>
        <rFont val="BFU Suisse"/>
        <family val="2"/>
      </rPr>
      <t xml:space="preserve"> vue d’ensemble permanente</t>
    </r>
    <r>
      <rPr>
        <sz val="9"/>
        <rFont val="BFU Suisse"/>
        <family val="2"/>
      </rPr>
      <t xml:space="preserve"> de tous les </t>
    </r>
    <r>
      <rPr>
        <sz val="9"/>
        <color theme="4"/>
        <rFont val="BFU Suisse"/>
        <family val="2"/>
      </rPr>
      <t>véhicules surveillés</t>
    </r>
    <r>
      <rPr>
        <sz val="9"/>
        <rFont val="BFU Suisse"/>
        <family val="2"/>
      </rPr>
      <t xml:space="preserve"> par l’opérateur·rice est garantie, par exemple sous la forme d’objets abstraits tels que des points ou des symboles. L’accès aux </t>
    </r>
    <r>
      <rPr>
        <sz val="9"/>
        <color theme="4"/>
        <rFont val="BFU Suisse"/>
        <family val="2"/>
      </rPr>
      <t>informations actuelles sur l’exploitation</t>
    </r>
    <r>
      <rPr>
        <sz val="9"/>
        <rFont val="BFU Suisse"/>
        <family val="2"/>
      </rPr>
      <t xml:space="preserve"> (comme la position géographique, la vitesse, le sens de circulation, la destination/mission, etc.) est possible à tout moment, par exemple via une représentation sur une carte numérique.</t>
    </r>
  </si>
  <si>
    <r>
      <rPr>
        <i/>
        <sz val="9"/>
        <color theme="1"/>
        <rFont val="BFU Suisse"/>
        <family val="2"/>
      </rPr>
      <t xml:space="preserve">Concerne: accès approprié aux informations nécessaires </t>
    </r>
    <r>
      <rPr>
        <sz val="9"/>
        <color theme="1"/>
        <rFont val="BFU Suisse"/>
        <family val="2"/>
      </rPr>
      <t xml:space="preserve">
Une </t>
    </r>
    <r>
      <rPr>
        <b/>
        <sz val="9"/>
        <color theme="4"/>
        <rFont val="BFU Suisse"/>
        <family val="2"/>
      </rPr>
      <t xml:space="preserve">estimation immédiate de l’état de l’exploitation ou du véhicule </t>
    </r>
    <r>
      <rPr>
        <sz val="9"/>
        <color theme="1"/>
        <rFont val="BFU Suisse"/>
        <family val="2"/>
      </rPr>
      <t>est garantie, par exemple au moyen d’un code de couleur ou d’une autre représentation clairement identifiable.</t>
    </r>
  </si>
  <si>
    <r>
      <rPr>
        <i/>
        <sz val="9"/>
        <color theme="1"/>
        <rFont val="BFU Suisse"/>
        <family val="2"/>
      </rPr>
      <t xml:space="preserve">Concerne: accès approprié aux informations nécessaires </t>
    </r>
    <r>
      <rPr>
        <sz val="9"/>
        <color theme="1"/>
        <rFont val="BFU Suisse"/>
        <family val="2"/>
      </rPr>
      <t xml:space="preserve">
L’accès des opérateur·rices à l’</t>
    </r>
    <r>
      <rPr>
        <b/>
        <sz val="9"/>
        <color theme="4"/>
        <rFont val="BFU Suisse"/>
        <family val="2"/>
      </rPr>
      <t>environnement sonore du véhicule</t>
    </r>
    <r>
      <rPr>
        <sz val="9"/>
        <color theme="1"/>
        <rFont val="BFU Suisse"/>
        <family val="2"/>
      </rPr>
      <t xml:space="preserve"> est garanti.</t>
    </r>
  </si>
  <si>
    <r>
      <rPr>
        <i/>
        <sz val="9"/>
        <color theme="1"/>
        <rFont val="BFU Suisse"/>
        <family val="2"/>
      </rPr>
      <t xml:space="preserve">Concerne: accès approprié aux informations nécessaires </t>
    </r>
    <r>
      <rPr>
        <sz val="9"/>
        <color theme="1"/>
        <rFont val="BFU Suisse"/>
        <family val="2"/>
      </rPr>
      <t xml:space="preserve">
Une</t>
    </r>
    <r>
      <rPr>
        <b/>
        <sz val="9"/>
        <color theme="4"/>
        <rFont val="BFU Suisse"/>
        <family val="2"/>
      </rPr>
      <t xml:space="preserve"> surveillance visuelle en temps réel</t>
    </r>
    <r>
      <rPr>
        <sz val="9"/>
        <color theme="1"/>
        <rFont val="BFU Suisse"/>
        <family val="2"/>
      </rPr>
      <t xml:space="preserve"> des différents véhicules est garantie à tout moment si nécessaire, par exemple via une sélection ciblée (p. ex. par clic de souris) et l’activation d’une </t>
    </r>
    <r>
      <rPr>
        <sz val="9"/>
        <color theme="4"/>
        <rFont val="BFU Suisse"/>
        <family val="2"/>
      </rPr>
      <t>transmission vidéo en direct</t>
    </r>
    <r>
      <rPr>
        <sz val="9"/>
        <color theme="1"/>
        <rFont val="BFU Suisse"/>
        <family val="2"/>
      </rPr>
      <t xml:space="preserve">.
</t>
    </r>
    <r>
      <rPr>
        <i/>
        <sz val="9"/>
        <color theme="1"/>
        <rFont val="BFU Suisse"/>
        <family val="2"/>
      </rPr>
      <t>Il n’est donc pas nécessaire d’affecter un véhicule à un écran spécifique de manière individuelle et permanente.</t>
    </r>
  </si>
  <si>
    <t>Art. 43, al. 3, let. d, OCAut</t>
  </si>
  <si>
    <r>
      <t xml:space="preserve">Résultat intermédiaire
</t>
    </r>
    <r>
      <rPr>
        <sz val="14"/>
        <color theme="0"/>
        <rFont val="BFU Suisse"/>
        <family val="2"/>
      </rPr>
      <t xml:space="preserve"> </t>
    </r>
    <r>
      <rPr>
        <b/>
        <sz val="14"/>
        <color theme="0"/>
        <rFont val="BFU Suisse"/>
        <family val="2"/>
      </rPr>
      <t>Niveau d’exigence</t>
    </r>
    <r>
      <rPr>
        <sz val="14"/>
        <color theme="0"/>
        <rFont val="BFU Suisse"/>
        <family val="2"/>
      </rPr>
      <t xml:space="preserve"> 
</t>
    </r>
    <r>
      <rPr>
        <i/>
        <sz val="14"/>
        <color theme="0"/>
        <rFont val="BFU Suisse"/>
        <family val="2"/>
      </rPr>
      <t>hors</t>
    </r>
    <r>
      <rPr>
        <sz val="14"/>
        <color theme="0"/>
        <rFont val="BFU Suisse"/>
        <family val="2"/>
      </rPr>
      <t xml:space="preserve"> endroits particulièrement complexes</t>
    </r>
  </si>
  <si>
    <t>Accès au carrefours</t>
  </si>
  <si>
    <t>Catégorie de route</t>
  </si>
  <si>
    <t>Catégorie 
de route</t>
  </si>
  <si>
    <t>Accès au carrefour</t>
  </si>
  <si>
    <t>Usage commercial</t>
  </si>
  <si>
    <r>
      <t xml:space="preserve">Installations et infrastructures spéciales
</t>
    </r>
    <r>
      <rPr>
        <sz val="12"/>
        <color theme="4" tint="-0.499984740745262"/>
        <rFont val="BFU Suisse"/>
        <family val="2"/>
      </rPr>
      <t xml:space="preserve">(oui/non)
</t>
    </r>
    <r>
      <rPr>
        <i/>
        <sz val="12"/>
        <color theme="4" tint="-0.499984740745262"/>
        <rFont val="BFU Suisse"/>
        <family val="2"/>
      </rPr>
      <t xml:space="preserve">
selon la liste</t>
    </r>
  </si>
  <si>
    <t>Degré de criticité 
du tronçon</t>
  </si>
  <si>
    <t>Sécurité routière, flux de trafic: base de calcul</t>
  </si>
  <si>
    <t>Feu de signalisation</t>
  </si>
  <si>
    <r>
      <t xml:space="preserve">Paramètres du réseau – carrefours 
</t>
    </r>
    <r>
      <rPr>
        <sz val="12"/>
        <color theme="0"/>
        <rFont val="BFU Suisse"/>
        <family val="2"/>
      </rPr>
      <t xml:space="preserve"> (en localité/hors localité)</t>
    </r>
  </si>
  <si>
    <r>
      <rPr>
        <b/>
        <sz val="12"/>
        <rFont val="BFU Suisse"/>
        <family val="2"/>
      </rPr>
      <t>Paramètre lié à l’exploitation</t>
    </r>
    <r>
      <rPr>
        <b/>
        <sz val="12"/>
        <color rgb="FFFF0000"/>
        <rFont val="BFU Suisse"/>
        <family val="2"/>
      </rPr>
      <t xml:space="preserve">
</t>
    </r>
    <r>
      <rPr>
        <b/>
        <sz val="12"/>
        <color theme="4" tint="-0.499984740745262"/>
        <rFont val="BFU Suisse"/>
        <family val="2"/>
      </rPr>
      <t>autoroute / semi-autoroute</t>
    </r>
  </si>
  <si>
    <t>Accidents par an (carrefours: nombre d’accidents) ou densité d’accidents (tronçons: taux d’accidents) 
Valeur limite</t>
  </si>
  <si>
    <r>
      <t xml:space="preserve">Accidents par an (carrefours: nombre d’accidents) ou densité d’accidents (tronçons: taux d’accidents)
 </t>
    </r>
    <r>
      <rPr>
        <b/>
        <i/>
        <sz val="12"/>
        <color theme="2"/>
        <rFont val="BFU Suisse"/>
        <family val="2"/>
      </rPr>
      <t>Valeur réelle 
selon la norme 
sur les indices</t>
    </r>
  </si>
  <si>
    <r>
      <t xml:space="preserve">Part des accidents de la catégorie «tué·es et blessé·es graves» parmi tous les accidents [%]
</t>
    </r>
    <r>
      <rPr>
        <b/>
        <i/>
        <sz val="12"/>
        <color theme="2"/>
        <rFont val="BFU Suisse"/>
        <family val="2"/>
      </rPr>
      <t xml:space="preserve"> 
Valeur réelle 
selon la norme 
sur les indices</t>
    </r>
  </si>
  <si>
    <t>Carrefours</t>
  </si>
  <si>
    <t>Part acc. avec tué·es et blessé·es graves</t>
  </si>
  <si>
    <t>Paramètre lié à l’exploitation</t>
  </si>
  <si>
    <t>Densité d’accidents (valeur)</t>
  </si>
  <si>
    <t>Part acc. avec tué·es et 
blessé·es graves</t>
  </si>
  <si>
    <t>Part acc. 
avec tué·es 
et blessé·es graves</t>
  </si>
  <si>
    <r>
      <t>TJM (</t>
    </r>
    <r>
      <rPr>
        <b/>
        <sz val="10"/>
        <color rgb="FFFF0000"/>
        <rFont val="BFU Suisse"/>
        <family val="2"/>
      </rPr>
      <t>classification</t>
    </r>
    <r>
      <rPr>
        <b/>
        <sz val="10"/>
        <color theme="1"/>
        <rFont val="BFU Suisse"/>
        <family val="2"/>
      </rPr>
      <t>)</t>
    </r>
  </si>
  <si>
    <t>Nombre / densité d’accidents calculés selon la norme relative aux indices</t>
  </si>
  <si>
    <t>Tronçons en section courante en localité</t>
  </si>
  <si>
    <t>Tronçons en section coruante hors localité</t>
  </si>
  <si>
    <t>Part des accidents avec tué·es et blessé·es graves parmi tous les accidents [%]</t>
  </si>
  <si>
    <t>Tronçons en section courante hors localité</t>
  </si>
  <si>
    <t>Paramètre lié à l’exploitation autoroute / semi-autoroute</t>
  </si>
  <si>
    <t>Rampes dans les jonctions</t>
  </si>
  <si>
    <t>rampe dans jonction</t>
  </si>
  <si>
    <r>
      <t xml:space="preserve">Paramètres du réseau – carrefours 
</t>
    </r>
    <r>
      <rPr>
        <sz val="12"/>
        <color theme="0"/>
        <rFont val="BFU Suisse"/>
        <family val="2"/>
      </rPr>
      <t>(en localité/hors localité)</t>
    </r>
  </si>
  <si>
    <t>Paramètre lié à l’exploitation
autoroute / semi-autoroute</t>
  </si>
  <si>
    <r>
      <t xml:space="preserve">Évaluation de 
la capacité à 
assumer la conduite
</t>
    </r>
    <r>
      <rPr>
        <sz val="14"/>
        <color theme="0"/>
        <rFont val="BFU Suisse"/>
        <family val="2"/>
      </rPr>
      <t xml:space="preserve"> (par l’autorité chargée de délivrer l’autorisation)</t>
    </r>
  </si>
  <si>
    <r>
      <t xml:space="preserve">Paramètres du réseau – tronçons en section courante
</t>
    </r>
    <r>
      <rPr>
        <sz val="12"/>
        <color theme="0"/>
        <rFont val="BFU Suisse"/>
        <family val="2"/>
      </rPr>
      <t>(en localité, hors localité, autoroute / semi-autoroute)</t>
    </r>
  </si>
  <si>
    <r>
      <t xml:space="preserve">TJM
</t>
    </r>
    <r>
      <rPr>
        <i/>
        <sz val="12"/>
        <color theme="4" tint="-0.499984740745262"/>
        <rFont val="BFU Suisse"/>
        <family val="2"/>
      </rPr>
      <t>Valeur réelle 
pour le tronçon</t>
    </r>
  </si>
  <si>
    <r>
      <t xml:space="preserve">Flux de trafic
</t>
    </r>
    <r>
      <rPr>
        <sz val="12"/>
        <color theme="3"/>
        <rFont val="BFU Suisse"/>
        <family val="2"/>
      </rPr>
      <t xml:space="preserve"> (évaluation 
du TJM)</t>
    </r>
  </si>
  <si>
    <r>
      <t xml:space="preserve">Endroits à concentration d’accidents </t>
    </r>
    <r>
      <rPr>
        <sz val="12"/>
        <color theme="4" tint="-0.499984740745262"/>
        <rFont val="BFU Suisse"/>
        <family val="2"/>
      </rPr>
      <t>(oui/non)</t>
    </r>
    <r>
      <rPr>
        <b/>
        <sz val="12"/>
        <color theme="4" tint="-0.499984740745262"/>
        <rFont val="BFU Suisse"/>
        <family val="2"/>
      </rPr>
      <t xml:space="preserve">
</t>
    </r>
    <r>
      <rPr>
        <i/>
        <sz val="12"/>
        <color theme="4" tint="-0.499984740745262"/>
        <rFont val="BFU Suisse"/>
        <family val="2"/>
      </rPr>
      <t>selon la liste</t>
    </r>
  </si>
  <si>
    <r>
      <t xml:space="preserve">Autorisation 
</t>
    </r>
    <r>
      <rPr>
        <sz val="12"/>
        <color theme="3"/>
        <rFont val="BFU Suisse"/>
        <family val="2"/>
      </rPr>
      <t>(oui/non/assortie de conditions)</t>
    </r>
  </si>
  <si>
    <r>
      <t xml:space="preserve">Conditions assorties B
</t>
    </r>
    <r>
      <rPr>
        <sz val="12"/>
        <color theme="3"/>
        <rFont val="BFU Suisse"/>
        <family val="2"/>
      </rPr>
      <t xml:space="preserve"> (mesures compensatoires tenant compte des conditions assorties A de l’étape 1)</t>
    </r>
  </si>
  <si>
    <r>
      <rPr>
        <b/>
        <sz val="9"/>
        <color theme="4"/>
        <rFont val="BFU Suisse"/>
        <family val="2"/>
      </rPr>
      <t>Les réactions de type «failsafe» et «failover»</t>
    </r>
    <r>
      <rPr>
        <sz val="9"/>
        <rFont val="BFU Suisse"/>
        <family val="2"/>
      </rPr>
      <t xml:space="preserve"> sont décrites et leur adéquation dans le contexte d’utilisation prévu est documentée. Il est notamment précisé </t>
    </r>
    <r>
      <rPr>
        <sz val="9"/>
        <color theme="4"/>
        <rFont val="BFU Suisse"/>
        <family val="2"/>
      </rPr>
      <t xml:space="preserve">quelles réactions du système sont déclenchées en cas de liaison radio interrompue / non continue </t>
    </r>
    <r>
      <rPr>
        <sz val="9"/>
        <rFont val="BFU Suisse"/>
        <family val="2"/>
      </rPr>
      <t>(p. ex. initiation d’une manœuvre limitant le risque ou passage automatique à une communication alternative).</t>
    </r>
  </si>
  <si>
    <t>Art. 45, al. 1, let. e, OCAut</t>
  </si>
  <si>
    <r>
      <rPr>
        <i/>
        <sz val="9"/>
        <rFont val="BFU Suisse"/>
        <family val="2"/>
      </rPr>
      <t>Concerne: preuve de la couverture réseau dans les conditions d’utilisation</t>
    </r>
    <r>
      <rPr>
        <sz val="9"/>
        <rFont val="BFU Suisse"/>
        <family val="2"/>
      </rPr>
      <t xml:space="preserve">
La confirmation atteste explicitement, dans les conditions d’utilisation demandées, d’une </t>
    </r>
    <r>
      <rPr>
        <b/>
        <sz val="9"/>
        <color theme="4"/>
        <rFont val="BFU Suisse"/>
        <family val="2"/>
      </rPr>
      <t>couverture réseau fiable</t>
    </r>
    <r>
      <rPr>
        <sz val="9"/>
        <color theme="4"/>
        <rFont val="BFU Suisse"/>
        <family val="2"/>
      </rPr>
      <t xml:space="preserve"> (c’est-à-dire ininterrompue), y compris dans les environnements exigeants</t>
    </r>
    <r>
      <rPr>
        <sz val="9"/>
        <rFont val="BFU Suisse"/>
        <family val="2"/>
      </rPr>
      <t xml:space="preserve"> (p. ex. tunnels, canyons urbains ou surcharge lors de grands événements). 
À défaut, une preuve technique d’au moins une </t>
    </r>
    <r>
      <rPr>
        <b/>
        <sz val="9"/>
        <color theme="4"/>
        <rFont val="BFU Suisse"/>
        <family val="2"/>
      </rPr>
      <t>redondance technique</t>
    </r>
    <r>
      <rPr>
        <sz val="9"/>
        <rFont val="BFU Suisse"/>
        <family val="2"/>
      </rPr>
      <t xml:space="preserve"> appropriée (p. ex. double raccordement réseau, technologie de transmission alternative) </t>
    </r>
    <r>
      <rPr>
        <sz val="9"/>
        <color theme="4"/>
        <rFont val="BFU Suisse"/>
        <family val="2"/>
      </rPr>
      <t>compensant les interruptions de liaison sur le plan fonctionnel</t>
    </r>
    <r>
      <rPr>
        <sz val="9"/>
        <rFont val="BFU Suisse"/>
        <family val="2"/>
      </rPr>
      <t xml:space="preserve"> est fournie. La </t>
    </r>
    <r>
      <rPr>
        <sz val="9"/>
        <color theme="4"/>
        <rFont val="BFU Suisse"/>
        <family val="2"/>
      </rPr>
      <t xml:space="preserve">fiabilité </t>
    </r>
    <r>
      <rPr>
        <sz val="9"/>
        <rFont val="BFU Suisse"/>
        <family val="2"/>
      </rPr>
      <t xml:space="preserve">de la solution de redondance prévue </t>
    </r>
    <r>
      <rPr>
        <sz val="9"/>
        <color theme="4"/>
        <rFont val="BFU Suisse"/>
        <family val="2"/>
      </rPr>
      <t>est démontrée</t>
    </r>
    <r>
      <rPr>
        <sz val="9"/>
        <rFont val="BFU Suisse"/>
        <family val="2"/>
      </rPr>
      <t xml:space="preserve"> (p. ex. par des données de test, une simulation ou des valeurs empiriques). 
</t>
    </r>
    <r>
      <rPr>
        <i/>
        <u/>
        <sz val="9"/>
        <rFont val="BFU Suisse"/>
        <family val="2"/>
      </rPr>
      <t>Remarque:</t>
    </r>
    <r>
      <rPr>
        <i/>
        <sz val="9"/>
        <rFont val="BFU Suisse"/>
        <family val="2"/>
      </rPr>
      <t xml:space="preserve">
Le choix de la technologie de communication utilisée (p. ex. 4G, 5G, ITS-G5) est libre, pour autant qu’elle garantisse une exploitation sûre dans les conditions d’utilisation demandées.</t>
    </r>
  </si>
  <si>
    <t>Art. 38, al. 3, let. f, OCAut</t>
  </si>
  <si>
    <r>
      <rPr>
        <i/>
        <sz val="9"/>
        <color theme="1"/>
        <rFont val="BFU Suisse"/>
        <family val="2"/>
      </rPr>
      <t xml:space="preserve">Concerne: communication avec les opérateur·rices </t>
    </r>
    <r>
      <rPr>
        <sz val="9"/>
        <color theme="1"/>
        <rFont val="BFU Suisse"/>
        <family val="2"/>
      </rPr>
      <t xml:space="preserve">
La </t>
    </r>
    <r>
      <rPr>
        <b/>
        <sz val="9"/>
        <color theme="4"/>
        <rFont val="BFU Suisse"/>
        <family val="2"/>
      </rPr>
      <t>communication</t>
    </r>
    <r>
      <rPr>
        <sz val="9"/>
        <color theme="1"/>
        <rFont val="BFU Suisse"/>
        <family val="2"/>
      </rPr>
      <t xml:space="preserve"> entre les opérateur·rices prévu·es et les </t>
    </r>
    <r>
      <rPr>
        <b/>
        <sz val="9"/>
        <color theme="4"/>
        <rFont val="BFU Suisse"/>
        <family val="2"/>
      </rPr>
      <t>occupant·es du véhicule</t>
    </r>
    <r>
      <rPr>
        <sz val="9"/>
        <color theme="1"/>
        <rFont val="BFU Suisse"/>
        <family val="2"/>
      </rPr>
      <t xml:space="preserve"> </t>
    </r>
    <r>
      <rPr>
        <sz val="9"/>
        <color theme="4" tint="-0.249977111117893"/>
        <rFont val="BFU Suisse"/>
        <family val="2"/>
      </rPr>
      <t>est</t>
    </r>
    <r>
      <rPr>
        <sz val="9"/>
        <color theme="1"/>
        <rFont val="BFU Suisse"/>
        <family val="2"/>
      </rPr>
      <t xml:space="preserve"> garantie </t>
    </r>
    <r>
      <rPr>
        <sz val="9"/>
        <color theme="4"/>
        <rFont val="BFU Suisse"/>
        <family val="2"/>
      </rPr>
      <t>en tout temps</t>
    </r>
    <r>
      <rPr>
        <sz val="9"/>
        <color theme="1"/>
        <rFont val="BFU Suisse"/>
        <family val="2"/>
      </rPr>
      <t xml:space="preserve"> au moyen d’une </t>
    </r>
    <r>
      <rPr>
        <sz val="9"/>
        <color theme="4"/>
        <rFont val="BFU Suisse"/>
        <family val="2"/>
      </rPr>
      <t>interface audiovisuelle ou d’un canal de communication alternatif.</t>
    </r>
    <r>
      <rPr>
        <sz val="9"/>
        <color theme="1"/>
        <rFont val="BFU Suisse"/>
        <family val="2"/>
      </rPr>
      <t xml:space="preserve">
</t>
    </r>
    <r>
      <rPr>
        <i/>
        <u/>
        <sz val="9"/>
        <color theme="1"/>
        <rFont val="BFU Suisse"/>
        <family val="2"/>
      </rPr>
      <t>Indications pour l’évaluation:</t>
    </r>
    <r>
      <rPr>
        <i/>
        <sz val="9"/>
        <color theme="1"/>
        <rFont val="BFU Suisse"/>
        <family val="2"/>
      </rPr>
      <t xml:space="preserve">
La manière dont les occupant·es peuvent entrer en contact avec l’opérateur·rice doit être clairement identifiable. </t>
    </r>
  </si>
  <si>
    <t>Art. 45, al. 1, let. e, OCAut
Art. 38, al. 3, let. f, OCAut</t>
  </si>
  <si>
    <r>
      <rPr>
        <i/>
        <sz val="9"/>
        <color theme="1"/>
        <rFont val="BFU Suisse"/>
        <family val="2"/>
      </rPr>
      <t xml:space="preserve">Concerne: communication avec les opérateur·rices </t>
    </r>
    <r>
      <rPr>
        <sz val="9"/>
        <color theme="1"/>
        <rFont val="BFU Suisse"/>
        <family val="2"/>
      </rPr>
      <t xml:space="preserve">
Pour les cas de </t>
    </r>
    <r>
      <rPr>
        <b/>
        <sz val="9"/>
        <color theme="4"/>
        <rFont val="BFU Suisse"/>
        <family val="2"/>
      </rPr>
      <t>défaillance de l’interface audiovisuelle principale</t>
    </r>
    <r>
      <rPr>
        <sz val="9"/>
        <color theme="1"/>
        <rFont val="BFU Suisse"/>
        <family val="2"/>
      </rPr>
      <t>, un</t>
    </r>
    <r>
      <rPr>
        <sz val="9"/>
        <color theme="4"/>
        <rFont val="BFU Suisse"/>
        <family val="2"/>
      </rPr>
      <t xml:space="preserve"> </t>
    </r>
    <r>
      <rPr>
        <b/>
        <sz val="9"/>
        <color theme="4"/>
        <rFont val="BFU Suisse"/>
        <family val="2"/>
      </rPr>
      <t>canal de communication alternatif</t>
    </r>
    <r>
      <rPr>
        <sz val="9"/>
        <color theme="1"/>
        <rFont val="BFU Suisse"/>
        <family val="2"/>
      </rPr>
      <t xml:space="preserve"> </t>
    </r>
    <r>
      <rPr>
        <sz val="9"/>
        <color theme="4"/>
        <rFont val="BFU Suisse"/>
        <family val="2"/>
      </rPr>
      <t>fiable</t>
    </r>
    <r>
      <rPr>
        <sz val="9"/>
        <color theme="1"/>
        <rFont val="BFU Suisse"/>
        <family val="2"/>
      </rPr>
      <t xml:space="preserve"> </t>
    </r>
    <r>
      <rPr>
        <sz val="9"/>
        <rFont val="BFU Suisse"/>
        <family val="2"/>
      </rPr>
      <t xml:space="preserve">garantissant en </t>
    </r>
    <r>
      <rPr>
        <sz val="9"/>
        <color theme="1"/>
        <rFont val="BFU Suisse"/>
        <family val="2"/>
      </rPr>
      <t xml:space="preserve">tout temps la liaison entre les opérateur·rices et les occupant·es du véhicule est </t>
    </r>
    <r>
      <rPr>
        <sz val="9"/>
        <rFont val="BFU Suisse"/>
        <family val="2"/>
      </rPr>
      <t>décrit</t>
    </r>
    <r>
      <rPr>
        <sz val="9"/>
        <color theme="1"/>
        <rFont val="BFU Suisse"/>
        <family val="2"/>
      </rPr>
      <t xml:space="preserve">.
La </t>
    </r>
    <r>
      <rPr>
        <sz val="9"/>
        <color theme="4"/>
        <rFont val="BFU Suisse"/>
        <family val="2"/>
      </rPr>
      <t>fiabilité de la solution prévue est démontrée</t>
    </r>
    <r>
      <rPr>
        <sz val="9"/>
        <color theme="1"/>
        <rFont val="BFU Suisse"/>
        <family val="2"/>
      </rPr>
      <t xml:space="preserve"> (p. ex. par des données de test, une simulation ou des valeurs empiriques). </t>
    </r>
  </si>
  <si>
    <r>
      <rPr>
        <b/>
        <sz val="12"/>
        <color theme="4" tint="-0.249977111117893"/>
        <rFont val="BFU Suisse"/>
        <family val="2"/>
      </rPr>
      <t>4</t>
    </r>
    <r>
      <rPr>
        <b/>
        <sz val="12"/>
        <color theme="1"/>
        <rFont val="BFU Suisse"/>
        <family val="2"/>
      </rPr>
      <t xml:space="preserve"> - Obligations du ou de la détenteur·rice du véhicule</t>
    </r>
  </si>
  <si>
    <r>
      <rPr>
        <sz val="9"/>
        <color theme="1"/>
        <rFont val="BFU Suisse"/>
        <family val="2"/>
      </rPr>
      <t>Le bloc d’évaluation suivant porte sur l’</t>
    </r>
    <r>
      <rPr>
        <b/>
        <sz val="9"/>
        <color theme="1"/>
        <rFont val="BFU Suisse"/>
        <family val="2"/>
      </rPr>
      <t xml:space="preserve">art. 45, al. 1, let. f, OCAut relatif aux obligations du ou de la détenteur·rice du véhicule: </t>
    </r>
    <r>
      <rPr>
        <i/>
        <sz val="9"/>
        <color theme="1"/>
        <rFont val="BFU Suisse"/>
        <family val="2"/>
      </rPr>
      <t xml:space="preserve">«La demande d’autorisation des conditions d’utilisation doit englober les informations visées à l’art. 43, al. 3, et attester que les obligations incombant au détenteur du véhicule (art. 38) sont satisfaites.».
</t>
    </r>
    <r>
      <rPr>
        <sz val="9"/>
        <color theme="1"/>
        <rFont val="BFU Suisse"/>
        <family val="2"/>
      </rPr>
      <t xml:space="preserve">
Il s’agit d’évaluer si les obligations du ou de la détenteur·rice du véhicule</t>
    </r>
    <r>
      <rPr>
        <sz val="9"/>
        <rFont val="BFU Suisse"/>
        <family val="2"/>
      </rPr>
      <t xml:space="preserve"> énumérées à l’art. 38 sont respectées</t>
    </r>
    <r>
      <rPr>
        <sz val="9"/>
        <color theme="1"/>
        <rFont val="BFU Suisse"/>
        <family val="2"/>
      </rPr>
      <t xml:space="preserve">.  </t>
    </r>
  </si>
  <si>
    <r>
      <t xml:space="preserve">Exigences
</t>
    </r>
    <r>
      <rPr>
        <sz val="12"/>
        <color theme="0"/>
        <rFont val="BFU Suisse"/>
        <family val="2"/>
      </rPr>
      <t xml:space="preserve"> Garantir le respect des obligations 
du ou de la détenteur·rice du véhicule</t>
    </r>
  </si>
  <si>
    <t>Art. 38, al. 7, OCAut</t>
  </si>
  <si>
    <r>
      <t xml:space="preserve">Preuves fournies
</t>
    </r>
    <r>
      <rPr>
        <sz val="14"/>
        <color theme="0"/>
        <rFont val="BFU Suisse"/>
        <family val="2"/>
      </rPr>
      <t>(par le ou la requérant·e)</t>
    </r>
  </si>
  <si>
    <r>
      <t xml:space="preserve">Preuves fournies
</t>
    </r>
    <r>
      <rPr>
        <sz val="14"/>
        <color theme="0"/>
        <rFont val="BFU Suisse"/>
        <family val="2"/>
      </rPr>
      <t xml:space="preserve"> (par le ou la requérant·e)</t>
    </r>
  </si>
  <si>
    <r>
      <t xml:space="preserve">Le ou la </t>
    </r>
    <r>
      <rPr>
        <b/>
        <sz val="9"/>
        <color theme="4"/>
        <rFont val="BFU Suisse"/>
        <family val="2"/>
      </rPr>
      <t>requérant·e</t>
    </r>
    <r>
      <rPr>
        <sz val="9"/>
        <color theme="1"/>
        <rFont val="BFU Suisse"/>
        <family val="2"/>
      </rPr>
      <t xml:space="preserve"> est </t>
    </r>
    <r>
      <rPr>
        <sz val="9"/>
        <color theme="4"/>
        <rFont val="BFU Suisse"/>
        <family val="2"/>
      </rPr>
      <t>une personne morale</t>
    </r>
    <r>
      <rPr>
        <sz val="9"/>
        <color theme="1"/>
        <rFont val="BFU Suisse"/>
        <family val="2"/>
      </rPr>
      <t xml:space="preserve"> (p. ex. une entreprise). </t>
    </r>
  </si>
  <si>
    <r>
      <t xml:space="preserve">Il est décrit comment </t>
    </r>
    <r>
      <rPr>
        <sz val="9"/>
        <rFont val="BFU Suisse"/>
        <family val="2"/>
      </rPr>
      <t xml:space="preserve">le ou la </t>
    </r>
    <r>
      <rPr>
        <sz val="9"/>
        <color theme="1"/>
        <rFont val="BFU Suisse"/>
        <family val="2"/>
      </rPr>
      <t>détenteur·rice du véhicule</t>
    </r>
    <r>
      <rPr>
        <sz val="9"/>
        <rFont val="BFU Suisse"/>
        <family val="2"/>
      </rPr>
      <t xml:space="preserve"> veille à ce que le </t>
    </r>
    <r>
      <rPr>
        <b/>
        <sz val="9"/>
        <color theme="4"/>
        <rFont val="BFU Suisse"/>
        <family val="2"/>
      </rPr>
      <t>système d’automatisation</t>
    </r>
    <r>
      <rPr>
        <b/>
        <sz val="9"/>
        <rFont val="BFU Suisse"/>
        <family val="2"/>
      </rPr>
      <t xml:space="preserve"> </t>
    </r>
    <r>
      <rPr>
        <sz val="9"/>
        <rFont val="BFU Suisse"/>
        <family val="2"/>
      </rPr>
      <t>du véhicule sans conducteur soit</t>
    </r>
    <r>
      <rPr>
        <sz val="9"/>
        <color theme="4"/>
        <rFont val="BFU Suisse"/>
        <family val="2"/>
      </rPr>
      <t xml:space="preserve"> </t>
    </r>
    <r>
      <rPr>
        <b/>
        <sz val="9"/>
        <color theme="4"/>
        <rFont val="BFU Suisse"/>
        <family val="2"/>
      </rPr>
      <t>mis à jour et entretenu</t>
    </r>
    <r>
      <rPr>
        <sz val="9"/>
        <color theme="4"/>
        <rFont val="BFU Suisse"/>
        <family val="2"/>
      </rPr>
      <t xml:space="preserve"> </t>
    </r>
    <r>
      <rPr>
        <sz val="9"/>
        <rFont val="BFU Suisse"/>
        <family val="2"/>
      </rPr>
      <t xml:space="preserve">conformément aux directives du constructeur. </t>
    </r>
  </si>
  <si>
    <t>Art. 38, al. 1, OCAut</t>
  </si>
  <si>
    <r>
      <t>La description est</t>
    </r>
    <r>
      <rPr>
        <b/>
        <sz val="9"/>
        <color theme="4"/>
        <rFont val="BFU Suisse"/>
        <family val="2"/>
      </rPr>
      <t xml:space="preserve"> compréhensible / suffisante</t>
    </r>
    <r>
      <rPr>
        <sz val="9"/>
        <rFont val="BFU Suisse"/>
        <family val="2"/>
      </rPr>
      <t>.</t>
    </r>
    <r>
      <rPr>
        <b/>
        <sz val="9"/>
        <color theme="4"/>
        <rFont val="BFU Suisse"/>
        <family val="2"/>
      </rPr>
      <t xml:space="preserve"> </t>
    </r>
  </si>
  <si>
    <t>Art. 38, al. 2, OCAut</t>
  </si>
  <si>
    <r>
      <rPr>
        <i/>
        <sz val="9"/>
        <color theme="1"/>
        <rFont val="BFU Suisse"/>
        <family val="2"/>
      </rPr>
      <t xml:space="preserve">Concerne: communication avec les opérateur·rices </t>
    </r>
    <r>
      <rPr>
        <sz val="9"/>
        <color theme="1"/>
        <rFont val="BFU Suisse"/>
        <family val="2"/>
      </rPr>
      <t xml:space="preserve">
La </t>
    </r>
    <r>
      <rPr>
        <b/>
        <sz val="9"/>
        <color theme="4"/>
        <rFont val="BFU Suisse"/>
        <family val="2"/>
      </rPr>
      <t>communication</t>
    </r>
    <r>
      <rPr>
        <sz val="9"/>
        <color theme="1"/>
        <rFont val="BFU Suisse"/>
        <family val="2"/>
      </rPr>
      <t xml:space="preserve"> entre les opérateur·rices prévu·es et les </t>
    </r>
    <r>
      <rPr>
        <b/>
        <sz val="9"/>
        <color theme="4"/>
        <rFont val="BFU Suisse"/>
        <family val="2"/>
      </rPr>
      <t>organes de contrôle</t>
    </r>
    <r>
      <rPr>
        <sz val="9"/>
        <color theme="1"/>
        <rFont val="BFU Suisse"/>
        <family val="2"/>
      </rPr>
      <t xml:space="preserve"> est assurée via l’</t>
    </r>
    <r>
      <rPr>
        <sz val="9"/>
        <color theme="4"/>
        <rFont val="BFU Suisse"/>
        <family val="2"/>
      </rPr>
      <t>interface audiovisuelle</t>
    </r>
    <r>
      <rPr>
        <sz val="9"/>
        <color theme="1"/>
        <rFont val="BFU Suisse"/>
        <family val="2"/>
      </rPr>
      <t xml:space="preserve"> du véhicule ou un canal de communication alternatif. 
</t>
    </r>
    <r>
      <rPr>
        <i/>
        <u/>
        <sz val="9"/>
        <color theme="1"/>
        <rFont val="BFU Suisse"/>
        <family val="2"/>
      </rPr>
      <t>Indications pour l’évaluation:</t>
    </r>
    <r>
      <rPr>
        <i/>
        <sz val="9"/>
        <color theme="1"/>
        <rFont val="BFU Suisse"/>
        <family val="2"/>
      </rPr>
      <t xml:space="preserve">
La manière dont le</t>
    </r>
    <r>
      <rPr>
        <i/>
        <sz val="9"/>
        <rFont val="BFU Suisse"/>
        <family val="2"/>
      </rPr>
      <t>s organes de contrôle</t>
    </r>
    <r>
      <rPr>
        <i/>
        <sz val="9"/>
        <color theme="1"/>
        <rFont val="BFU Suisse"/>
        <family val="2"/>
      </rPr>
      <t xml:space="preserve"> peuvent prendre contact avec l’opérateur·rice doit être clairement identifiable. </t>
    </r>
  </si>
  <si>
    <t>Art. 38, al. 3, let. a, OCAut</t>
  </si>
  <si>
    <r>
      <t xml:space="preserve">Il est décrit comment le ou la détenteur·rice du véhicule s’assure que </t>
    </r>
    <r>
      <rPr>
        <sz val="9"/>
        <color theme="4"/>
        <rFont val="BFU Suisse"/>
        <family val="2"/>
      </rPr>
      <t xml:space="preserve">le véhicule </t>
    </r>
    <r>
      <rPr>
        <sz val="9"/>
        <rFont val="BFU Suisse"/>
        <family val="2"/>
      </rPr>
      <t>est</t>
    </r>
    <r>
      <rPr>
        <sz val="9"/>
        <color theme="4"/>
        <rFont val="BFU Suisse"/>
        <family val="2"/>
      </rPr>
      <t xml:space="preserve"> </t>
    </r>
    <r>
      <rPr>
        <b/>
        <sz val="9"/>
        <color theme="4"/>
        <rFont val="BFU Suisse"/>
        <family val="2"/>
      </rPr>
      <t xml:space="preserve">utilisé uniquement dans les conditions autorisées </t>
    </r>
    <r>
      <rPr>
        <sz val="9"/>
        <color theme="4"/>
        <rFont val="BFU Suisse"/>
        <family val="2"/>
      </rPr>
      <t>pour ce véhicule.</t>
    </r>
  </si>
  <si>
    <t>Art. 38, al. 5, OCAut 
Art. 30 LCR
Art. 73 OCR 
Art. 57, al. 1 et 2, OCR 
Art. 58 OCR</t>
  </si>
  <si>
    <r>
      <t xml:space="preserve">Il est décrit comment le ou la détenteur·rice du véhicule veille à ce que le </t>
    </r>
    <r>
      <rPr>
        <b/>
        <sz val="9"/>
        <color theme="4"/>
        <rFont val="BFU Suisse"/>
        <family val="2"/>
      </rPr>
      <t>chargement soit arrimé correctement</t>
    </r>
    <r>
      <rPr>
        <sz val="9"/>
        <color theme="4"/>
        <rFont val="BFU Suisse"/>
        <family val="2"/>
      </rPr>
      <t xml:space="preserve">, conformément aux art. 30 LCR; art. 73 OCR; art. 57, al. 1 et 2, OCR, et art. 58 OCR. </t>
    </r>
  </si>
  <si>
    <t>Art. 38, al. 4, OCAut</t>
  </si>
  <si>
    <r>
      <t xml:space="preserve">Il est décrit comment le ou la détenteur·rice du véhicule </t>
    </r>
    <r>
      <rPr>
        <sz val="9"/>
        <color theme="4"/>
        <rFont val="BFU Suisse"/>
        <family val="2"/>
      </rPr>
      <t>garantit, sur le plan organisationnel,</t>
    </r>
    <r>
      <rPr>
        <sz val="9"/>
        <color theme="1"/>
        <rFont val="BFU Suisse"/>
        <family val="2"/>
      </rPr>
      <t xml:space="preserve"> </t>
    </r>
    <r>
      <rPr>
        <b/>
        <sz val="9"/>
        <color theme="4"/>
        <rFont val="BFU Suisse"/>
        <family val="2"/>
      </rPr>
      <t>que les obligations qui incombent au ou à la conducteur·rice du véhicule sont remplies</t>
    </r>
    <r>
      <rPr>
        <sz val="9"/>
        <color theme="1"/>
        <rFont val="BFU Suisse"/>
        <family val="2"/>
      </rPr>
      <t xml:space="preserve">. 
</t>
    </r>
    <r>
      <rPr>
        <i/>
        <sz val="9"/>
        <color theme="1"/>
        <rFont val="BFU Suisse"/>
        <family val="2"/>
      </rPr>
      <t>L’exigence est évaluée sur la base des questions suivantes (4.6.1 - 4.6.13).</t>
    </r>
    <r>
      <rPr>
        <sz val="9"/>
        <color theme="1"/>
        <rFont val="BFU Suisse"/>
        <family val="2"/>
      </rPr>
      <t xml:space="preserve">
</t>
    </r>
    <r>
      <rPr>
        <i/>
        <u/>
        <sz val="9"/>
        <color theme="1"/>
        <rFont val="BFU Suisse"/>
        <family val="2"/>
      </rPr>
      <t xml:space="preserve">Remarque: </t>
    </r>
    <r>
      <rPr>
        <i/>
        <sz val="9"/>
        <color theme="1"/>
        <rFont val="BFU Suisse"/>
        <family val="2"/>
      </rPr>
      <t xml:space="preserve">
Il est possible de renoncer à placer un signal de panne
conformément à l’art. 23, al. 2, OCR si les feux clignotants avertisseurs sont activés et à emporter le permis de circulation avec soi conformément à l’art. 10, al. 4, LCR.</t>
    </r>
  </si>
  <si>
    <t>Art. 38, al. 4, OCAut 
Art. 23, al. 2, OCR</t>
  </si>
  <si>
    <r>
      <rPr>
        <i/>
        <sz val="9"/>
        <color theme="1"/>
        <rFont val="BFU Suisse"/>
        <family val="2"/>
      </rPr>
      <t>Concerne: utilisation des signaux de panne et des feux clignotants avertisseurs</t>
    </r>
    <r>
      <rPr>
        <sz val="9"/>
        <color theme="1"/>
        <rFont val="BFU Suisse"/>
        <family val="2"/>
      </rPr>
      <t xml:space="preserve">
En cas de besoin (p. ex. en cas de panne</t>
    </r>
    <r>
      <rPr>
        <sz val="9"/>
        <rFont val="BFU Suisse"/>
        <family val="2"/>
      </rPr>
      <t>), les</t>
    </r>
    <r>
      <rPr>
        <sz val="9"/>
        <color theme="1"/>
        <rFont val="BFU Suisse"/>
        <family val="2"/>
      </rPr>
      <t xml:space="preserve"> </t>
    </r>
    <r>
      <rPr>
        <b/>
        <sz val="9"/>
        <color theme="4"/>
        <rFont val="BFU Suisse"/>
        <family val="2"/>
      </rPr>
      <t>feux clignotants avertisseurs</t>
    </r>
    <r>
      <rPr>
        <sz val="9"/>
        <color theme="1"/>
        <rFont val="BFU Suisse"/>
        <family val="2"/>
      </rPr>
      <t xml:space="preserve"> sont </t>
    </r>
    <r>
      <rPr>
        <sz val="9"/>
        <color theme="4"/>
        <rFont val="BFU Suisse"/>
        <family val="2"/>
      </rPr>
      <t>activés</t>
    </r>
    <r>
      <rPr>
        <sz val="9"/>
        <color theme="1"/>
        <rFont val="BFU Suisse"/>
        <family val="2"/>
      </rPr>
      <t xml:space="preserve"> (automatiquement).
</t>
    </r>
    <r>
      <rPr>
        <sz val="9"/>
        <color theme="4"/>
        <rFont val="BFU Suisse"/>
        <family val="2"/>
      </rPr>
      <t>Si ce n’est pas le cas</t>
    </r>
    <r>
      <rPr>
        <sz val="9"/>
        <color theme="1"/>
        <rFont val="BFU Suisse"/>
        <family val="2"/>
      </rPr>
      <t xml:space="preserve">, il est décrit comment il est garanti sur le plan organisationnel que l’obligation d’utiliser les signaux de panne est respectée. 
</t>
    </r>
    <r>
      <rPr>
        <i/>
        <u/>
        <sz val="9"/>
        <color theme="1"/>
        <rFont val="BFU Suisse"/>
        <family val="2"/>
      </rPr>
      <t xml:space="preserve">Indications pour l’évaluation: 
</t>
    </r>
    <r>
      <rPr>
        <i/>
        <sz val="9"/>
        <color theme="1"/>
        <rFont val="BFU Suisse"/>
        <family val="2"/>
      </rPr>
      <t xml:space="preserve">Si les feux clignotants avertisseurs sont activés, il est possible de renoncer à la mise en place d’un signal de panne conformément à l’art. 23, al. 2, OCR. </t>
    </r>
  </si>
  <si>
    <r>
      <rPr>
        <i/>
        <sz val="9"/>
        <color theme="1"/>
        <rFont val="BFU Suisse"/>
        <family val="2"/>
      </rPr>
      <t>Ce point est pertinent uniquement si les feux clignotants avertisseurs ne sont pas activés automatiquement ou qu’une mesure alternative permettant de satisfaire à l’obligation de l’art. 23, al. 2, OCR est prévue.</t>
    </r>
    <r>
      <rPr>
        <sz val="9"/>
        <color theme="1"/>
        <rFont val="BFU Suisse"/>
        <family val="2"/>
      </rPr>
      <t xml:space="preserve">
La description de la mesure alternative permettant de garantir l’utilisation des signaux de panne est</t>
    </r>
    <r>
      <rPr>
        <sz val="9"/>
        <color theme="4"/>
        <rFont val="BFU Suisse"/>
        <family val="2"/>
      </rPr>
      <t xml:space="preserve"> compréhensible / convaincante / suffisante.</t>
    </r>
  </si>
  <si>
    <t>Art. 38, al. 4, OCAut
Art. 27, al. 1 et 2, LCR</t>
  </si>
  <si>
    <r>
      <rPr>
        <i/>
        <sz val="9"/>
        <color theme="1"/>
        <rFont val="BFU Suisse"/>
        <family val="2"/>
      </rPr>
      <t>Concerne: respect des signaux, marquages et ordres</t>
    </r>
    <r>
      <rPr>
        <sz val="9"/>
        <color theme="1"/>
        <rFont val="BFU Suisse"/>
        <family val="2"/>
      </rPr>
      <t xml:space="preserve">
La demande d’autorisation décrit comment le ou la détenteur·rice du véhicule </t>
    </r>
    <r>
      <rPr>
        <sz val="9"/>
        <color theme="4"/>
        <rFont val="BFU Suisse"/>
        <family val="2"/>
      </rPr>
      <t xml:space="preserve">garantit (sur le plan organisationnel) </t>
    </r>
    <r>
      <rPr>
        <sz val="9"/>
        <rFont val="BFU Suisse"/>
        <family val="2"/>
      </rPr>
      <t>que</t>
    </r>
    <r>
      <rPr>
        <sz val="9"/>
        <color theme="1"/>
        <rFont val="BFU Suisse"/>
        <family val="2"/>
      </rPr>
      <t xml:space="preserve">
- </t>
    </r>
    <r>
      <rPr>
        <sz val="9"/>
        <rFont val="BFU Suisse"/>
        <family val="2"/>
      </rPr>
      <t xml:space="preserve">les </t>
    </r>
    <r>
      <rPr>
        <b/>
        <sz val="9"/>
        <color theme="4"/>
        <rFont val="BFU Suisse"/>
        <family val="2"/>
      </rPr>
      <t>signaux et marquages</t>
    </r>
    <r>
      <rPr>
        <b/>
        <sz val="9"/>
        <rFont val="BFU Suisse"/>
        <family val="2"/>
      </rPr>
      <t xml:space="preserve"> </t>
    </r>
    <r>
      <rPr>
        <sz val="9"/>
        <rFont val="BFU Suisse"/>
        <family val="2"/>
      </rPr>
      <t>ainsi que les</t>
    </r>
    <r>
      <rPr>
        <b/>
        <sz val="9"/>
        <rFont val="BFU Suisse"/>
        <family val="2"/>
      </rPr>
      <t xml:space="preserve"> </t>
    </r>
    <r>
      <rPr>
        <b/>
        <sz val="9"/>
        <color theme="4"/>
        <rFont val="BFU Suisse"/>
        <family val="2"/>
      </rPr>
      <t>ordres de la police</t>
    </r>
    <r>
      <rPr>
        <b/>
        <sz val="9"/>
        <rFont val="BFU Suisse"/>
        <family val="2"/>
      </rPr>
      <t xml:space="preserve"> </t>
    </r>
    <r>
      <rPr>
        <sz val="9"/>
        <rFont val="BFU Suisse"/>
        <family val="2"/>
      </rPr>
      <t xml:space="preserve">sont respectés; 
- </t>
    </r>
    <r>
      <rPr>
        <sz val="9"/>
        <color theme="4"/>
        <rFont val="BFU Suisse"/>
        <family val="2"/>
      </rPr>
      <t>la chaussée est immédiatement dégagée</t>
    </r>
    <r>
      <rPr>
        <sz val="9"/>
        <rFont val="BFU Suisse"/>
        <family val="2"/>
      </rPr>
      <t xml:space="preserve">, voire le véhicule arrêté, pour permettre le passage des </t>
    </r>
    <r>
      <rPr>
        <b/>
        <sz val="9"/>
        <color theme="4"/>
        <rFont val="BFU Suisse"/>
        <family val="2"/>
      </rPr>
      <t>véhicules des pompiers, des services sanitaires, de la police ou des douanes</t>
    </r>
    <r>
      <rPr>
        <b/>
        <sz val="9"/>
        <rFont val="BFU Suisse"/>
        <family val="2"/>
      </rPr>
      <t xml:space="preserve"> </t>
    </r>
    <r>
      <rPr>
        <sz val="9"/>
        <rFont val="BFU Suisse"/>
        <family val="2"/>
      </rPr>
      <t>lorsque les avertisseurs spéciaux de ces véhicules fonctionnent.</t>
    </r>
  </si>
  <si>
    <t>Art. 38, al. 5, OCAut
Art. 57 OCR
Art. 29 LCR</t>
  </si>
  <si>
    <t>5 - Besoins de la mobilité douce</t>
  </si>
  <si>
    <r>
      <rPr>
        <sz val="9"/>
        <color theme="1"/>
        <rFont val="BFU Suisse"/>
        <family val="2"/>
      </rPr>
      <t>Le bloc d’évaluation suivant porte sur l’</t>
    </r>
    <r>
      <rPr>
        <b/>
        <sz val="9"/>
        <color theme="1"/>
        <rFont val="BFU Suisse"/>
        <family val="2"/>
      </rPr>
      <t>art. 45, al. 1, let. c, OCAut relatif aux besoins de la mobilité douce</t>
    </r>
    <r>
      <rPr>
        <sz val="9"/>
        <color theme="1"/>
        <rFont val="BFU Suisse"/>
        <family val="2"/>
      </rPr>
      <t>:</t>
    </r>
    <r>
      <rPr>
        <b/>
        <sz val="9"/>
        <color theme="1"/>
        <rFont val="BFU Suisse"/>
        <family val="2"/>
      </rPr>
      <t xml:space="preserve"> </t>
    </r>
    <r>
      <rPr>
        <i/>
        <sz val="9"/>
        <color theme="1"/>
        <rFont val="BFU Suisse"/>
        <family val="2"/>
      </rPr>
      <t>«</t>
    </r>
    <r>
      <rPr>
        <i/>
        <sz val="9"/>
        <rFont val="BFU Suisse"/>
        <family val="2"/>
      </rPr>
      <t>… que l’exploitation des véhicules sans conducteur ne perturbe ou ne surcharge pas le trafic, que la sécurité routière est garantie et que les besoins des cyclistes et des piétons sont suffisamment pris en considération»</t>
    </r>
    <r>
      <rPr>
        <sz val="9"/>
        <rFont val="BFU Suisse"/>
        <family val="2"/>
      </rPr>
      <t>.</t>
    </r>
  </si>
  <si>
    <t>Art. 45, al. 1, let. c, OCAut</t>
  </si>
  <si>
    <r>
      <rPr>
        <i/>
        <sz val="9"/>
        <rFont val="BFU Suisse"/>
        <family val="2"/>
      </rPr>
      <t>Concerne: dépassements et distance</t>
    </r>
    <r>
      <rPr>
        <sz val="9"/>
        <rFont val="BFU Suisse"/>
        <family val="2"/>
      </rPr>
      <t xml:space="preserve">
Il est décrit comment le véhicule se comporte lorsque des </t>
    </r>
    <r>
      <rPr>
        <b/>
        <sz val="9"/>
        <color theme="4"/>
        <rFont val="BFU Suisse"/>
        <family val="2"/>
      </rPr>
      <t xml:space="preserve">cyclistes </t>
    </r>
    <r>
      <rPr>
        <sz val="9"/>
        <rFont val="BFU Suisse"/>
        <family val="2"/>
      </rPr>
      <t xml:space="preserve">se trouvent devant lui, en particulier dans des espaces restreints ou à vitesse réduite. Il est précisé si, et dans quelles conditions, un dépassement a lieu.
</t>
    </r>
    <r>
      <rPr>
        <i/>
        <u/>
        <sz val="9"/>
        <rFont val="BFU Suisse"/>
        <family val="2"/>
      </rPr>
      <t xml:space="preserve">Indications pour l’évaluation: </t>
    </r>
    <r>
      <rPr>
        <i/>
        <sz val="9"/>
        <rFont val="BFU Suisse"/>
        <family val="2"/>
      </rPr>
      <t xml:space="preserve">
Les cyclistes ne devraient être dépassé·es que si une distance latérale suffisante peut être respectée.</t>
    </r>
  </si>
  <si>
    <r>
      <rPr>
        <i/>
        <sz val="9"/>
        <rFont val="BFU Suisse"/>
        <family val="2"/>
      </rPr>
      <t>Concerne: comportement routier dans le trafic mixte</t>
    </r>
    <r>
      <rPr>
        <sz val="9"/>
        <rFont val="BFU Suisse"/>
        <family val="2"/>
      </rPr>
      <t xml:space="preserve">
Il est démontré que le véhicule </t>
    </r>
    <r>
      <rPr>
        <b/>
        <sz val="9"/>
        <color theme="4"/>
        <rFont val="BFU Suisse"/>
        <family val="2"/>
      </rPr>
      <t>ralentit suffisamment tôt à l’approche des passages piétons</t>
    </r>
    <r>
      <rPr>
        <sz val="9"/>
        <rFont val="BFU Suisse"/>
        <family val="2"/>
      </rPr>
      <t xml:space="preserve"> et </t>
    </r>
    <r>
      <rPr>
        <b/>
        <sz val="9"/>
        <color theme="4"/>
        <rFont val="BFU Suisse"/>
        <family val="2"/>
      </rPr>
      <t>cède systématiquement la priorité aux piéton·nes</t>
    </r>
    <r>
      <rPr>
        <sz val="9"/>
        <rFont val="BFU Suisse"/>
        <family val="2"/>
      </rPr>
      <t>, même en cas d’hésitation ou de comportement incertain de leur part.</t>
    </r>
  </si>
  <si>
    <t>3.3</t>
  </si>
  <si>
    <t>x</t>
  </si>
  <si>
    <t>3.4</t>
  </si>
  <si>
    <t xml:space="preserve">3.5 </t>
  </si>
  <si>
    <r>
      <rPr>
        <i/>
        <sz val="9"/>
        <rFont val="BFU Suisse"/>
        <family val="2"/>
      </rPr>
      <t>Concerne: positionnement aux intersections</t>
    </r>
    <r>
      <rPr>
        <sz val="9"/>
        <rFont val="BFU Suisse"/>
        <family val="2"/>
      </rPr>
      <t xml:space="preserve">
Il est décrit comment le véhicule se comporte dans les situations </t>
    </r>
    <r>
      <rPr>
        <sz val="9"/>
        <color theme="1"/>
        <rFont val="BFU Suisse"/>
        <family val="2"/>
      </rPr>
      <t xml:space="preserve">nécessitant </t>
    </r>
    <r>
      <rPr>
        <b/>
        <sz val="9"/>
        <color theme="4"/>
        <rFont val="BFU Suisse"/>
        <family val="2"/>
      </rPr>
      <t>la traversée ou l’utilisation partagée de surfaces destinées au trafic cyclable</t>
    </r>
    <r>
      <rPr>
        <sz val="9"/>
        <rFont val="BFU Suisse"/>
        <family val="2"/>
      </rPr>
      <t xml:space="preserve"> (p. ex. pour se positionner correctement).</t>
    </r>
  </si>
  <si>
    <r>
      <rPr>
        <i/>
        <sz val="9"/>
        <rFont val="BFU Suisse"/>
        <family val="2"/>
      </rPr>
      <t>Concerne: comportement dans les situations temporaires et en cas de chantier routier</t>
    </r>
    <r>
      <rPr>
        <sz val="9"/>
        <rFont val="BFU Suisse"/>
        <family val="2"/>
      </rPr>
      <t xml:space="preserve">
Il est décrit comment le véhicule réagit aux </t>
    </r>
    <r>
      <rPr>
        <b/>
        <sz val="9"/>
        <color theme="4"/>
        <rFont val="BFU Suisse"/>
        <family val="2"/>
      </rPr>
      <t>modifications temporaires du guidage du trafic</t>
    </r>
    <r>
      <rPr>
        <sz val="9"/>
        <rFont val="BFU Suisse"/>
        <family val="2"/>
      </rPr>
      <t xml:space="preserve"> (p. ex. chemins pédestres ou itinéraires cyclables au guidage provisoire).</t>
    </r>
  </si>
  <si>
    <r>
      <t xml:space="preserve">La description est </t>
    </r>
    <r>
      <rPr>
        <sz val="9"/>
        <color theme="4"/>
        <rFont val="BFU Suisse"/>
        <family val="2"/>
      </rPr>
      <t>compréhensible / convaincante / suffisante.</t>
    </r>
  </si>
  <si>
    <r>
      <rPr>
        <i/>
        <sz val="9"/>
        <rFont val="BFU Suisse"/>
        <family val="2"/>
      </rPr>
      <t xml:space="preserve">Concerne: communication </t>
    </r>
    <r>
      <rPr>
        <sz val="9"/>
        <rFont val="BFU Suisse"/>
        <family val="2"/>
      </rPr>
      <t xml:space="preserve">
Il est démontré que le véhicule peut </t>
    </r>
    <r>
      <rPr>
        <b/>
        <sz val="9"/>
        <color theme="4"/>
        <rFont val="BFU Suisse"/>
        <family val="2"/>
      </rPr>
      <t>interpréter les signes de la main des cyclistes</t>
    </r>
    <r>
      <rPr>
        <sz val="9"/>
        <rFont val="BFU Suisse"/>
        <family val="2"/>
      </rPr>
      <t xml:space="preserve"> et y réagir de manière appropriée.</t>
    </r>
  </si>
  <si>
    <t xml:space="preserve"> </t>
  </si>
  <si>
    <t>Art. 43, al. 3, let. b, OCAut
Art. 43, al. 3, let. c, OCAut</t>
  </si>
  <si>
    <r>
      <rPr>
        <sz val="9"/>
        <color theme="4"/>
        <rFont val="BFU Suisse"/>
        <family val="2"/>
      </rPr>
      <t>Éléments de l’environnement («scenery</t>
    </r>
    <r>
      <rPr>
        <sz val="9"/>
        <color theme="1"/>
        <rFont val="BFU Suisse"/>
        <family val="2"/>
      </rPr>
      <t xml:space="preserve"> </t>
    </r>
    <r>
      <rPr>
        <sz val="9"/>
        <color theme="4"/>
        <rFont val="BFU Suisse"/>
        <family val="2"/>
      </rPr>
      <t>elements</t>
    </r>
    <r>
      <rPr>
        <sz val="9"/>
        <color theme="1"/>
        <rFont val="BFU Suisse"/>
        <family val="2"/>
      </rPr>
      <t xml:space="preserve">») (chap. 9, p. 7ss):
zones («zones»), surface carrossable («driveable area»), intersections («junctions»), structures routières de base («basic road structures»), structures particulières («special structures»), structures temporaires sur la surface carrossable («temporary drivable area structures»)
</t>
    </r>
    <r>
      <rPr>
        <sz val="9"/>
        <color theme="4"/>
        <rFont val="BFU Suisse"/>
        <family val="2"/>
      </rPr>
      <t>Conditions environnementales («environmental conditions»)</t>
    </r>
    <r>
      <rPr>
        <sz val="9"/>
        <rFont val="BFU Suisse"/>
        <family val="2"/>
      </rPr>
      <t>:</t>
    </r>
    <r>
      <rPr>
        <sz val="9"/>
        <color theme="4"/>
        <rFont val="BFU Suisse"/>
        <family val="2"/>
      </rPr>
      <t xml:space="preserve"> </t>
    </r>
    <r>
      <rPr>
        <sz val="9"/>
        <color theme="1"/>
        <rFont val="BFU Suisse"/>
        <family val="2"/>
      </rPr>
      <t xml:space="preserve">
météo, particules réduisant la visibilité (p. ex. brouillard), éclairage, connectivité 
</t>
    </r>
    <r>
      <rPr>
        <sz val="9"/>
        <color theme="4"/>
        <rFont val="BFU Suisse"/>
        <family val="2"/>
      </rPr>
      <t>Éléments dynamiques («dynamic elements»)</t>
    </r>
    <r>
      <rPr>
        <sz val="9"/>
        <rFont val="BFU Suisse"/>
        <family val="2"/>
      </rPr>
      <t>:</t>
    </r>
    <r>
      <rPr>
        <sz val="9"/>
        <color theme="4"/>
        <rFont val="BFU Suisse"/>
        <family val="2"/>
      </rPr>
      <t xml:space="preserve"> </t>
    </r>
    <r>
      <rPr>
        <sz val="9"/>
        <color theme="1"/>
        <rFont val="BFU Suisse"/>
        <family val="2"/>
      </rPr>
      <t xml:space="preserve">
usager·ères de la route (objets dynamiques), véhicule cible ou de référence</t>
    </r>
  </si>
  <si>
    <r>
      <t xml:space="preserve">Il est </t>
    </r>
    <r>
      <rPr>
        <b/>
        <sz val="9"/>
        <color theme="4"/>
        <rFont val="BFU Suisse"/>
        <family val="2"/>
      </rPr>
      <t>confirmé</t>
    </r>
    <r>
      <rPr>
        <sz val="9"/>
        <rFont val="BFU Suisse"/>
        <family val="2"/>
      </rPr>
      <t xml:space="preserve"> que </t>
    </r>
    <r>
      <rPr>
        <sz val="9"/>
        <color theme="4"/>
        <rFont val="BFU Suisse"/>
        <family val="2"/>
      </rPr>
      <t>toutes les limites pertinentes selon la norme ISO 34503 sont indiquées</t>
    </r>
    <r>
      <rPr>
        <sz val="9"/>
        <rFont val="BFU Suisse"/>
        <family val="2"/>
      </rPr>
      <t xml:space="preserve">. </t>
    </r>
  </si>
  <si>
    <r>
      <rPr>
        <i/>
        <sz val="9"/>
        <rFont val="BFU Suisse"/>
        <family val="2"/>
      </rPr>
      <t xml:space="preserve">6.2.1
Concerne: indication des restrictions d’exploitation </t>
    </r>
    <r>
      <rPr>
        <sz val="9"/>
        <rFont val="BFU Suisse"/>
        <family val="2"/>
      </rPr>
      <t xml:space="preserve">
La demande indique les </t>
    </r>
    <r>
      <rPr>
        <b/>
        <sz val="9"/>
        <color theme="4"/>
        <rFont val="BFU Suisse"/>
        <family val="2"/>
      </rPr>
      <t>restrictions d’exploitation</t>
    </r>
    <r>
      <rPr>
        <sz val="9"/>
        <rFont val="BFU Suisse"/>
        <family val="2"/>
      </rPr>
      <t xml:space="preserve"> découlant des limites relatives aux ODD. </t>
    </r>
  </si>
  <si>
    <r>
      <rPr>
        <i/>
        <sz val="9"/>
        <rFont val="BFU Suisse"/>
        <family val="2"/>
      </rPr>
      <t xml:space="preserve">6.2.2
Concerne: adéquation des restrictions d’exploitation </t>
    </r>
    <r>
      <rPr>
        <sz val="9"/>
        <rFont val="BFU Suisse"/>
        <family val="2"/>
      </rPr>
      <t xml:space="preserve">
Les </t>
    </r>
    <r>
      <rPr>
        <b/>
        <sz val="9"/>
        <color theme="4"/>
        <rFont val="BFU Suisse"/>
        <family val="2"/>
      </rPr>
      <t>restrictions d’exploitation</t>
    </r>
    <r>
      <rPr>
        <sz val="9"/>
        <rFont val="BFU Suisse"/>
        <family val="2"/>
      </rPr>
      <t xml:space="preserve"> décrites sont </t>
    </r>
    <r>
      <rPr>
        <sz val="9"/>
        <color theme="4"/>
        <rFont val="BFU Suisse"/>
        <family val="2"/>
      </rPr>
      <t xml:space="preserve">appropriées / compréhensibles / suffisantes. </t>
    </r>
  </si>
  <si>
    <r>
      <rPr>
        <i/>
        <sz val="9"/>
        <rFont val="BFU Suisse"/>
        <family val="2"/>
      </rPr>
      <t>6.2.3
Concerne: confirmation du constructeur</t>
    </r>
    <r>
      <rPr>
        <sz val="9"/>
        <rFont val="BFU Suisse"/>
        <family val="2"/>
      </rPr>
      <t xml:space="preserve">
Une </t>
    </r>
    <r>
      <rPr>
        <b/>
        <sz val="9"/>
        <color theme="4"/>
        <rFont val="BFU Suisse"/>
        <family val="2"/>
      </rPr>
      <t>confirmation du constructeur</t>
    </r>
    <r>
      <rPr>
        <sz val="9"/>
        <rFont val="BFU Suisse"/>
        <family val="2"/>
      </rPr>
      <t xml:space="preserve"> relative à l’adéquation du tronçon est disponible.</t>
    </r>
  </si>
  <si>
    <t>Art. 43, al. 3, let. c, OCAut</t>
  </si>
  <si>
    <r>
      <t xml:space="preserve">La demande contient une </t>
    </r>
    <r>
      <rPr>
        <b/>
        <sz val="9"/>
        <color theme="1"/>
        <rFont val="BFU Suisse"/>
        <family val="2"/>
      </rPr>
      <t>confirmation</t>
    </r>
    <r>
      <rPr>
        <sz val="9"/>
        <color theme="1"/>
        <rFont val="BFU Suisse"/>
        <family val="2"/>
      </rPr>
      <t xml:space="preserve"> que le ou la détenteur·rice du véhicule</t>
    </r>
    <r>
      <rPr>
        <sz val="9"/>
        <color theme="4"/>
        <rFont val="BFU Suisse"/>
        <family val="2"/>
      </rPr>
      <t xml:space="preserve"> ne pilote le véhicule que sous la surveillance d’un·e opérateur·rice</t>
    </r>
    <r>
      <rPr>
        <sz val="9"/>
        <rFont val="BFU Suisse"/>
        <family val="2"/>
      </rPr>
      <t>.</t>
    </r>
  </si>
  <si>
    <r>
      <rPr>
        <i/>
        <sz val="9"/>
        <rFont val="BFU Suisse"/>
        <family val="2"/>
      </rPr>
      <t xml:space="preserve">Concerne: personnel qualifié pour le pilotage manuel
</t>
    </r>
    <r>
      <rPr>
        <sz val="9"/>
        <rFont val="BFU Suisse"/>
        <family val="2"/>
      </rPr>
      <t xml:space="preserve">  
Il est </t>
    </r>
    <r>
      <rPr>
        <sz val="9"/>
        <color theme="4"/>
        <rFont val="BFU Suisse"/>
        <family val="2"/>
      </rPr>
      <t>prouvé/confirmé</t>
    </r>
    <r>
      <rPr>
        <sz val="9"/>
        <rFont val="BFU Suisse"/>
        <family val="2"/>
      </rPr>
      <t xml:space="preserve"> que l’</t>
    </r>
    <r>
      <rPr>
        <sz val="9"/>
        <color theme="4"/>
        <rFont val="BFU Suisse"/>
        <family val="2"/>
      </rPr>
      <t>opérateur·rice et la personne</t>
    </r>
    <r>
      <rPr>
        <sz val="9"/>
        <rFont val="BFU Suisse"/>
        <family val="2"/>
      </rPr>
      <t xml:space="preserve"> qui, le cas échéant, pilotera manuellement le véhicule sans conducteur:
- ont </t>
    </r>
    <r>
      <rPr>
        <sz val="9"/>
        <color theme="4"/>
        <rFont val="BFU Suisse"/>
        <family val="2"/>
      </rPr>
      <t>suivi</t>
    </r>
    <r>
      <rPr>
        <sz val="9"/>
        <rFont val="BFU Suisse"/>
        <family val="2"/>
      </rPr>
      <t xml:space="preserve"> avec succès la </t>
    </r>
    <r>
      <rPr>
        <b/>
        <sz val="9"/>
        <color theme="4"/>
        <rFont val="BFU Suisse"/>
        <family val="2"/>
      </rPr>
      <t>formation</t>
    </r>
    <r>
      <rPr>
        <sz val="9"/>
        <rFont val="BFU Suisse"/>
        <family val="2"/>
      </rPr>
      <t xml:space="preserve"> prévue à l’art. 37 et suivent des </t>
    </r>
    <r>
      <rPr>
        <sz val="9"/>
        <color theme="4"/>
        <rFont val="BFU Suisse"/>
        <family val="2"/>
      </rPr>
      <t>formations continues</t>
    </r>
    <r>
      <rPr>
        <sz val="9"/>
        <rFont val="BFU Suisse"/>
        <family val="2"/>
      </rPr>
      <t xml:space="preserve"> selon les instructions du constructeur (ou que tou·tes les opérateur·rices qui seront recruté·es et amené·es, le cas échéant, à piloter manuellement le véhicule suivront cette formation</t>
    </r>
    <r>
      <rPr>
        <sz val="9"/>
        <color theme="4"/>
        <rFont val="BFU Suisse"/>
        <family val="2"/>
      </rPr>
      <t>)</t>
    </r>
    <r>
      <rPr>
        <sz val="9"/>
        <rFont val="BFU Suisse"/>
        <family val="2"/>
      </rPr>
      <t xml:space="preserve">
- disposent de </t>
    </r>
    <r>
      <rPr>
        <b/>
        <sz val="9"/>
        <color theme="4"/>
        <rFont val="BFU Suisse"/>
        <family val="2"/>
      </rPr>
      <t>l’aptitude et des qualifications nécessaires à la conduite</t>
    </r>
    <r>
      <rPr>
        <sz val="9"/>
        <rFont val="BFU Suisse"/>
        <family val="2"/>
      </rPr>
      <t xml:space="preserve">
- possèdent un </t>
    </r>
    <r>
      <rPr>
        <b/>
        <sz val="9"/>
        <color theme="4"/>
        <rFont val="BFU Suisse"/>
        <family val="2"/>
      </rPr>
      <t>permis de conduire</t>
    </r>
    <r>
      <rPr>
        <sz val="9"/>
        <rFont val="BFU Suisse"/>
        <family val="2"/>
      </rPr>
      <t xml:space="preserve"> autorisant la conduite de véhicules de la catégorie à laquelle appartient le véhicule sans conducteur, le minimum étant toutefois un permis de la catégorie B. 
La demande d’autorisation </t>
    </r>
    <r>
      <rPr>
        <sz val="9"/>
        <color theme="4"/>
        <rFont val="BFU Suisse"/>
        <family val="2"/>
      </rPr>
      <t>décrit</t>
    </r>
    <r>
      <rPr>
        <sz val="9"/>
        <rFont val="BFU Suisse"/>
        <family val="2"/>
      </rPr>
      <t xml:space="preserve"> comment le ou la détenteur·rice du véhicule s’assure que les opérateur·rices </t>
    </r>
    <r>
      <rPr>
        <b/>
        <sz val="9"/>
        <color theme="4"/>
        <rFont val="BFU Suisse"/>
        <family val="2"/>
      </rPr>
      <t>sont capables de conduire et ne se trouvent pas sous l’influence de l’alcool</t>
    </r>
    <r>
      <rPr>
        <sz val="9"/>
        <rFont val="BFU Suisse"/>
        <family val="2"/>
      </rPr>
      <t xml:space="preserve"> durant l’exercice de leur activité, au sens de l’art. 2</t>
    </r>
    <r>
      <rPr>
        <i/>
        <sz val="9"/>
        <rFont val="BFU Suisse"/>
        <family val="2"/>
      </rPr>
      <t>a</t>
    </r>
    <r>
      <rPr>
        <sz val="9"/>
        <rFont val="BFU Suisse"/>
        <family val="2"/>
      </rPr>
      <t xml:space="preserve">, al. 2, OCR du 13 novembre 1962. </t>
    </r>
  </si>
  <si>
    <r>
      <rPr>
        <i/>
        <sz val="9"/>
        <color theme="1"/>
        <rFont val="BFU Suisse"/>
        <family val="2"/>
      </rPr>
      <t>Concerne: obligation relative à la disponibilité de l’infrastructure nécessaire à l’exécution des tâches</t>
    </r>
    <r>
      <rPr>
        <sz val="9"/>
        <color theme="1"/>
        <rFont val="BFU Suisse"/>
        <family val="2"/>
      </rPr>
      <t xml:space="preserve">
Il est </t>
    </r>
    <r>
      <rPr>
        <sz val="9"/>
        <color theme="4"/>
        <rFont val="BFU Suisse"/>
        <family val="2"/>
      </rPr>
      <t>décrit</t>
    </r>
    <r>
      <rPr>
        <sz val="9"/>
        <color theme="1"/>
        <rFont val="BFU Suisse"/>
        <family val="2"/>
      </rPr>
      <t xml:space="preserve"> de quelle manière le ou la détenteur·rice du véhicule s’assure </t>
    </r>
    <r>
      <rPr>
        <sz val="9"/>
        <color theme="4"/>
        <rFont val="BFU Suisse"/>
        <family val="2"/>
      </rPr>
      <t>de la disponibilité de l’</t>
    </r>
    <r>
      <rPr>
        <b/>
        <sz val="9"/>
        <color theme="4"/>
        <rFont val="BFU Suisse"/>
        <family val="2"/>
      </rPr>
      <t>infrastructure</t>
    </r>
    <r>
      <rPr>
        <sz val="9"/>
        <color theme="4"/>
        <rFont val="BFU Suisse"/>
        <family val="2"/>
      </rPr>
      <t xml:space="preserve"> nécessaire à l’accomplissement des tâches</t>
    </r>
    <r>
      <rPr>
        <sz val="9"/>
        <color theme="1"/>
        <rFont val="BFU Suisse"/>
        <family val="2"/>
      </rPr>
      <t xml:space="preserve"> de l’opérateur·rice selon les consignes du constructeur. </t>
    </r>
  </si>
  <si>
    <r>
      <rPr>
        <i/>
        <sz val="9"/>
        <color theme="1"/>
        <rFont val="BFU Suisse"/>
        <family val="2"/>
      </rPr>
      <t xml:space="preserve">Concerne: chargement </t>
    </r>
    <r>
      <rPr>
        <sz val="9"/>
        <color theme="1"/>
        <rFont val="BFU Suisse"/>
        <family val="2"/>
      </rPr>
      <t xml:space="preserve">
La demande d’autorisation décrit comment le ou la détenteur·rice du véhicule </t>
    </r>
    <r>
      <rPr>
        <sz val="9"/>
        <color theme="4"/>
        <rFont val="BFU Suisse"/>
        <family val="2"/>
      </rPr>
      <t>garantit (sur le plan organisationnel)</t>
    </r>
    <r>
      <rPr>
        <sz val="9"/>
        <color theme="1"/>
        <rFont val="BFU Suisse"/>
        <family val="2"/>
      </rPr>
      <t xml:space="preserve"> que le véhicule et son </t>
    </r>
    <r>
      <rPr>
        <b/>
        <sz val="9"/>
        <color theme="4"/>
        <rFont val="BFU Suisse"/>
        <family val="2"/>
      </rPr>
      <t>chargement</t>
    </r>
    <r>
      <rPr>
        <sz val="9"/>
        <color theme="1"/>
        <rFont val="BFU Suisse"/>
        <family val="2"/>
      </rPr>
      <t xml:space="preserve"> répondent aux prescriptions et que les accessoires nécessaires sont disponibles. </t>
    </r>
  </si>
  <si>
    <t>Art. 38, al. 4, OCAut
Art. 14 OCR
Art. 36, al. 2 à 4, LCR</t>
  </si>
  <si>
    <r>
      <rPr>
        <i/>
        <sz val="9"/>
        <color theme="1"/>
        <rFont val="BFU Suisse"/>
        <family val="2"/>
      </rPr>
      <t>Concerne: exercice de la priorité selon l’OCR</t>
    </r>
    <r>
      <rPr>
        <sz val="9"/>
        <color theme="1"/>
        <rFont val="BFU Suisse"/>
        <family val="2"/>
      </rPr>
      <t xml:space="preserve">
La demande d’autorisation décrit comment le ou la détenteur·rice du véhicule </t>
    </r>
    <r>
      <rPr>
        <sz val="9"/>
        <color theme="4"/>
        <rFont val="BFU Suisse"/>
        <family val="2"/>
      </rPr>
      <t>garantit (sur le plan organisationnel)</t>
    </r>
    <r>
      <rPr>
        <sz val="9"/>
        <color theme="1"/>
        <rFont val="BFU Suisse"/>
        <family val="2"/>
      </rPr>
      <t xml:space="preserve"> que le véhicule adopte une conduite particulièrement prudente dans les </t>
    </r>
    <r>
      <rPr>
        <b/>
        <sz val="9"/>
        <color theme="4"/>
        <rFont val="BFU Suisse"/>
        <family val="2"/>
      </rPr>
      <t>situations qui ne sont prévues par aucune prescription</t>
    </r>
    <r>
      <rPr>
        <sz val="9"/>
        <color theme="1"/>
        <rFont val="BFU Suisse"/>
        <family val="2"/>
      </rPr>
      <t xml:space="preserve">, par exemple lorsque des véhicules venant de toutes les directions parviennent simultanément à une intersection, et comment le véhicule se comporte dans de tels cas. 
</t>
    </r>
    <r>
      <rPr>
        <i/>
        <u/>
        <sz val="9"/>
        <color theme="1"/>
        <rFont val="BFU Suisse"/>
        <family val="2"/>
      </rPr>
      <t xml:space="preserve">Indications pour l’évaluation: 
</t>
    </r>
    <r>
      <rPr>
        <i/>
        <sz val="9"/>
        <color theme="1"/>
        <rFont val="BFU Suisse"/>
        <family val="2"/>
      </rPr>
      <t xml:space="preserve">Étant donné que les véhicules sans conducteur, contrairement aux conducteur·rices, ne peuvent pas régler entre eux l’ordre de priorité dans les situations qui ne sont prévues par aucune prescription, la demande doit exposer de manière compréhensible le comportement du véhicule dans de telles situations.
Il semble important que le véhicule ne reste pas immobilisé (p. ex. dans une intersection), ce qui perturberait le flux de trafic, mais qu’il n’emprunte pas non plus l’intersection en même temps que d’autres véhicules. </t>
    </r>
  </si>
  <si>
    <t>Art. 38, al. 4, OCAut
Art. 51 LCR</t>
  </si>
  <si>
    <r>
      <rPr>
        <i/>
        <sz val="9"/>
        <color theme="1"/>
        <rFont val="BFU Suisse"/>
        <family val="2"/>
      </rPr>
      <t xml:space="preserve">Concerne: comportement en cas d’accident
</t>
    </r>
    <r>
      <rPr>
        <sz val="9"/>
        <color theme="1"/>
        <rFont val="BFU Suisse"/>
        <family val="2"/>
      </rPr>
      <t xml:space="preserve"> 
La demande d’autorisation décrit comment le ou la détenteur·rice du véhicule</t>
    </r>
    <r>
      <rPr>
        <sz val="9"/>
        <color theme="4"/>
        <rFont val="BFU Suisse"/>
        <family val="2"/>
      </rPr>
      <t xml:space="preserve"> garantit (sur le plan organisationnel)</t>
    </r>
    <r>
      <rPr>
        <sz val="9"/>
        <color theme="1"/>
        <rFont val="BFU Suisse"/>
        <family val="2"/>
      </rPr>
      <t xml:space="preserve"> que
- le véhicule sans conducteur </t>
    </r>
    <r>
      <rPr>
        <sz val="9"/>
        <color theme="4"/>
        <rFont val="BFU Suisse"/>
        <family val="2"/>
      </rPr>
      <t>s’arrête</t>
    </r>
    <r>
      <rPr>
        <sz val="9"/>
        <color theme="1"/>
        <rFont val="BFU Suisse"/>
        <family val="2"/>
      </rPr>
      <t xml:space="preserve"> immédiatement en cas d’</t>
    </r>
    <r>
      <rPr>
        <b/>
        <sz val="9"/>
        <color theme="4"/>
        <rFont val="BFU Suisse"/>
        <family val="2"/>
      </rPr>
      <t>accident</t>
    </r>
    <r>
      <rPr>
        <sz val="9"/>
        <color theme="1"/>
        <rFont val="BFU Suisse"/>
        <family val="2"/>
      </rPr>
      <t xml:space="preserve"> et que des mesures sont prises pour assurer la sécurité de la circulation;
- en cas d’accident impliquant des </t>
    </r>
    <r>
      <rPr>
        <b/>
        <sz val="9"/>
        <color theme="4"/>
        <rFont val="BFU Suisse"/>
        <family val="2"/>
      </rPr>
      <t>blessé·es</t>
    </r>
    <r>
      <rPr>
        <sz val="9"/>
        <color theme="1"/>
        <rFont val="BFU Suisse"/>
        <family val="2"/>
      </rPr>
      <t xml:space="preserve">, il est porté secours à ces personnes dans la mesure du possible, </t>
    </r>
    <r>
      <rPr>
        <sz val="9"/>
        <color theme="4"/>
        <rFont val="BFU Suisse"/>
        <family val="2"/>
      </rPr>
      <t>la police est avertie</t>
    </r>
    <r>
      <rPr>
        <sz val="9"/>
        <color theme="1"/>
        <rFont val="BFU Suisse"/>
        <family val="2"/>
      </rPr>
      <t xml:space="preserve"> et, autant que possible, un concours à la </t>
    </r>
    <r>
      <rPr>
        <sz val="9"/>
        <color theme="4"/>
        <rFont val="BFU Suisse"/>
        <family val="2"/>
      </rPr>
      <t>reconstitution des faits</t>
    </r>
    <r>
      <rPr>
        <sz val="9"/>
        <color theme="1"/>
        <rFont val="BFU Suisse"/>
        <family val="2"/>
      </rPr>
      <t xml:space="preserve"> est assurée;
- en cas de </t>
    </r>
    <r>
      <rPr>
        <b/>
        <sz val="9"/>
        <color theme="4"/>
        <rFont val="BFU Suisse"/>
        <family val="2"/>
      </rPr>
      <t>dommages purement matériels</t>
    </r>
    <r>
      <rPr>
        <sz val="9"/>
        <color theme="1"/>
        <rFont val="BFU Suisse"/>
        <family val="2"/>
      </rPr>
      <t xml:space="preserve">, la </t>
    </r>
    <r>
      <rPr>
        <sz val="9"/>
        <color theme="4"/>
        <rFont val="BFU Suisse"/>
        <family val="2"/>
      </rPr>
      <t>personne lésée</t>
    </r>
    <r>
      <rPr>
        <sz val="9"/>
        <color theme="1"/>
        <rFont val="BFU Suisse"/>
        <family val="2"/>
      </rPr>
      <t xml:space="preserve"> est directement </t>
    </r>
    <r>
      <rPr>
        <sz val="9"/>
        <color theme="4"/>
        <rFont val="BFU Suisse"/>
        <family val="2"/>
      </rPr>
      <t>avertie</t>
    </r>
    <r>
      <rPr>
        <sz val="9"/>
        <color theme="1"/>
        <rFont val="BFU Suisse"/>
        <family val="2"/>
      </rPr>
      <t xml:space="preserve"> et reçoit le nom et l’adresse de l’auteur des dommages, ou, si cela n’est pas possible, </t>
    </r>
    <r>
      <rPr>
        <sz val="9"/>
        <color theme="4"/>
        <rFont val="BFU Suisse"/>
        <family val="2"/>
      </rPr>
      <t>la police est immédiatement informée</t>
    </r>
    <r>
      <rPr>
        <sz val="9"/>
        <color theme="1"/>
        <rFont val="BFU Suisse"/>
        <family val="2"/>
      </rPr>
      <t xml:space="preserve">;
- en cas d’accident à un </t>
    </r>
    <r>
      <rPr>
        <b/>
        <sz val="9"/>
        <color theme="4"/>
        <rFont val="BFU Suisse"/>
        <family val="2"/>
      </rPr>
      <t>passage à niveau</t>
    </r>
    <r>
      <rPr>
        <sz val="9"/>
        <color theme="1"/>
        <rFont val="BFU Suisse"/>
        <family val="2"/>
      </rPr>
      <t>,</t>
    </r>
    <r>
      <rPr>
        <sz val="9"/>
        <color theme="4"/>
        <rFont val="BFU Suisse"/>
        <family val="2"/>
      </rPr>
      <t xml:space="preserve"> l’administration ferroviaire compétente est immédiatement avertie</t>
    </r>
    <r>
      <rPr>
        <sz val="9"/>
        <color theme="1"/>
        <rFont val="BFU Suisse"/>
        <family val="2"/>
      </rPr>
      <t>.</t>
    </r>
  </si>
  <si>
    <t>Art. 38, al. 4, OCAut
Art. 54 OCR
Art. 51, al. 1 et 4, LCR</t>
  </si>
  <si>
    <r>
      <rPr>
        <i/>
        <sz val="9"/>
        <color theme="1"/>
        <rFont val="BFU Suisse"/>
        <family val="2"/>
      </rPr>
      <t>Concerne: comportement en cas d’accident - mesures de sécurité sur les lieux de l’accident</t>
    </r>
    <r>
      <rPr>
        <sz val="9"/>
        <color theme="1"/>
        <rFont val="BFU Suisse"/>
        <family val="2"/>
      </rPr>
      <t xml:space="preserve">
La demande d’autorisation décrit comment le ou la détenteur·rice du véhicule</t>
    </r>
    <r>
      <rPr>
        <sz val="9"/>
        <color theme="4"/>
        <rFont val="BFU Suisse"/>
        <family val="2"/>
      </rPr>
      <t xml:space="preserve"> garantit (sur le plan organisationnel)</t>
    </r>
    <r>
      <rPr>
        <sz val="9"/>
        <color theme="1"/>
        <rFont val="BFU Suisse"/>
        <family val="2"/>
      </rPr>
      <t xml:space="preserve"> que 
- en cas d’</t>
    </r>
    <r>
      <rPr>
        <b/>
        <sz val="9"/>
        <color theme="4"/>
        <rFont val="BFU Suisse"/>
        <family val="2"/>
      </rPr>
      <t>accident, de panne ou de danger</t>
    </r>
    <r>
      <rPr>
        <sz val="9"/>
        <color theme="1"/>
        <rFont val="BFU Suisse"/>
        <family val="2"/>
      </rPr>
      <t xml:space="preserve"> lié au véhicule (p. ex. liquide ou chargement répandu sur la chaussée), des </t>
    </r>
    <r>
      <rPr>
        <sz val="9"/>
        <color theme="4"/>
        <rFont val="BFU Suisse"/>
        <family val="2"/>
      </rPr>
      <t>mesures de sécurité</t>
    </r>
    <r>
      <rPr>
        <sz val="9"/>
        <color theme="1"/>
        <rFont val="BFU Suisse"/>
        <family val="2"/>
      </rPr>
      <t xml:space="preserve"> appropriées sont prises immédiatement pour protéger les autres usager·ères de la route;
- la</t>
    </r>
    <r>
      <rPr>
        <sz val="9"/>
        <color theme="4"/>
        <rFont val="BFU Suisse"/>
        <family val="2"/>
      </rPr>
      <t xml:space="preserve"> </t>
    </r>
    <r>
      <rPr>
        <b/>
        <sz val="9"/>
        <color theme="4"/>
        <rFont val="BFU Suisse"/>
        <family val="2"/>
      </rPr>
      <t>police est avisée sans délai</t>
    </r>
    <r>
      <rPr>
        <sz val="9"/>
        <color theme="1"/>
        <rFont val="BFU Suisse"/>
        <family val="2"/>
      </rPr>
      <t xml:space="preserve"> </t>
    </r>
    <r>
      <rPr>
        <sz val="9"/>
        <color theme="4"/>
        <rFont val="BFU Suisse"/>
        <family val="2"/>
      </rPr>
      <t>lorsqu’un danger ne peut être immédiatement écarté</t>
    </r>
    <r>
      <rPr>
        <sz val="9"/>
        <color theme="1"/>
        <rFont val="BFU Suisse"/>
        <family val="2"/>
      </rPr>
      <t xml:space="preserve">, en particulier en cas de danger environnemental potentiel (p. ex. pollution de rivère, lac ou eaux souterraines par écoulement de liquide);
- en cas de </t>
    </r>
    <r>
      <rPr>
        <b/>
        <sz val="9"/>
        <color theme="4"/>
        <rFont val="BFU Suisse"/>
        <family val="2"/>
      </rPr>
      <t xml:space="preserve">perturbation de l’exploitation ferroviaire </t>
    </r>
    <r>
      <rPr>
        <sz val="9"/>
        <color theme="1"/>
        <rFont val="BFU Suisse"/>
        <family val="2"/>
      </rPr>
      <t>(p. ex. pièces du véhicule ou chargement tombés sur les installations ferroviaires), l’</t>
    </r>
    <r>
      <rPr>
        <sz val="9"/>
        <color theme="4"/>
        <rFont val="BFU Suisse"/>
        <family val="2"/>
      </rPr>
      <t xml:space="preserve">administration ferroviaire </t>
    </r>
    <r>
      <rPr>
        <sz val="9"/>
        <color theme="1"/>
        <rFont val="BFU Suisse"/>
        <family val="2"/>
      </rPr>
      <t xml:space="preserve">compétente est </t>
    </r>
    <r>
      <rPr>
        <sz val="9"/>
        <color theme="4"/>
        <rFont val="BFU Suisse"/>
        <family val="2"/>
      </rPr>
      <t>immédiatement informée</t>
    </r>
    <r>
      <rPr>
        <sz val="9"/>
        <color theme="1"/>
        <rFont val="BFU Suisse"/>
        <family val="2"/>
      </rPr>
      <t>.</t>
    </r>
  </si>
  <si>
    <t xml:space="preserve">Art. 38, al. 4, OCAut
Art. 55 OCR
Art. 51, al. 1 et 2, LCR
</t>
  </si>
  <si>
    <r>
      <rPr>
        <i/>
        <sz val="9"/>
        <color theme="1"/>
        <rFont val="BFU Suisse"/>
        <family val="2"/>
      </rPr>
      <t xml:space="preserve">Concerne: comportement en cas d’accident </t>
    </r>
    <r>
      <rPr>
        <sz val="9"/>
        <color theme="1"/>
        <rFont val="BFU Suisse"/>
        <family val="2"/>
      </rPr>
      <t xml:space="preserve">
La demande d’autorisation décrit comment le ou la détenteur·rice du véhicule </t>
    </r>
    <r>
      <rPr>
        <sz val="9"/>
        <color theme="4"/>
        <rFont val="BFU Suisse"/>
        <family val="2"/>
      </rPr>
      <t>garantit sur le plan organisationnel</t>
    </r>
    <r>
      <rPr>
        <sz val="9"/>
        <color theme="1"/>
        <rFont val="BFU Suisse"/>
        <family val="2"/>
      </rPr>
      <t xml:space="preserve"> que 
- en cas </t>
    </r>
    <r>
      <rPr>
        <b/>
        <sz val="9"/>
        <color theme="4"/>
        <rFont val="BFU Suisse"/>
        <family val="2"/>
      </rPr>
      <t>d’accident ayant causé des dommages corporels</t>
    </r>
    <r>
      <rPr>
        <sz val="9"/>
        <color theme="1"/>
        <rFont val="BFU Suisse"/>
        <family val="2"/>
      </rPr>
      <t xml:space="preserve">, la police est immédiatement avisée si des blessures externes sont visibles ou qu’il faut s’attendre à des blessures internes;
- en cas de </t>
    </r>
    <r>
      <rPr>
        <b/>
        <sz val="9"/>
        <color theme="4"/>
        <rFont val="BFU Suisse"/>
        <family val="2"/>
      </rPr>
      <t>blessures légères</t>
    </r>
    <r>
      <rPr>
        <sz val="9"/>
        <color theme="1"/>
        <rFont val="BFU Suisse"/>
        <family val="2"/>
      </rPr>
      <t xml:space="preserve"> (p. ex. simples éraflures ou petites contusions),</t>
    </r>
    <r>
      <rPr>
        <sz val="9"/>
        <color theme="4"/>
        <rFont val="BFU Suisse"/>
        <family val="2"/>
      </rPr>
      <t xml:space="preserve"> la personne lésée reçoit le nom et l’adresse du ou de la responsable</t>
    </r>
    <r>
      <rPr>
        <sz val="9"/>
        <color theme="1"/>
        <rFont val="BFU Suisse"/>
        <family val="2"/>
      </rPr>
      <t xml:space="preserve"> (ou du ou de la détenteur·rice).</t>
    </r>
  </si>
  <si>
    <t xml:space="preserve">Art. 38, al. 4, OCAut
Art. 56 OCR
Art. 51, al. 2 et 3, LCR
</t>
  </si>
  <si>
    <t>Art. 38, al. 4, OCAut
Art. 42, al. 1, LCR
Art. 33 OCR</t>
  </si>
  <si>
    <r>
      <rPr>
        <sz val="9"/>
        <color theme="1"/>
        <rFont val="BFU Suisse"/>
        <family val="2"/>
      </rPr>
      <t>Le bloc d’évaluation suivant porte sur l’</t>
    </r>
    <r>
      <rPr>
        <b/>
        <sz val="9"/>
        <color theme="1"/>
        <rFont val="BFU Suisse"/>
        <family val="2"/>
      </rPr>
      <t xml:space="preserve">art. 43, al. 3, let. d-e, OCAut: 
</t>
    </r>
    <r>
      <rPr>
        <i/>
        <sz val="9"/>
        <color theme="1"/>
        <rFont val="BFU Suisse"/>
        <family val="2"/>
      </rPr>
      <t xml:space="preserve">«La demande doit comprendre: </t>
    </r>
    <r>
      <rPr>
        <sz val="9"/>
        <color theme="1"/>
        <rFont val="BFU Suisse"/>
        <family val="2"/>
      </rPr>
      <t xml:space="preserve">
</t>
    </r>
    <r>
      <rPr>
        <i/>
        <sz val="9"/>
        <color theme="1"/>
        <rFont val="BFU Suisse"/>
        <family val="2"/>
      </rPr>
      <t xml:space="preserve">  d.   une description des fonctions d’intervention à distance offertes par le véhicule et la confirmation que la liaison radio est fiable et présente une latence adéquate dans l’ensemble des conditions d’utilisation pour lesquelles l’autorisation est demandée; 
  e.   un concept d’exploitation pour le recours à des opérateurs et la déclaration du futur détenteur du véhicule précisant comment les conditions concernant les moyens humains et matériels seront réunies.»
</t>
    </r>
    <r>
      <rPr>
        <sz val="9"/>
        <color theme="1"/>
        <rFont val="BFU Suisse"/>
        <family val="2"/>
      </rPr>
      <t xml:space="preserve"> et l’</t>
    </r>
    <r>
      <rPr>
        <b/>
        <sz val="9"/>
        <color theme="1"/>
        <rFont val="BFU Suisse"/>
        <family val="2"/>
      </rPr>
      <t xml:space="preserve">art. 45, al. 1, let. d-e, OCAut: 
</t>
    </r>
    <r>
      <rPr>
        <sz val="9"/>
        <color theme="1"/>
        <rFont val="BFU Suisse"/>
        <family val="2"/>
      </rPr>
      <t xml:space="preserve">«La demande doit attester:
 </t>
    </r>
    <r>
      <rPr>
        <i/>
        <sz val="9"/>
        <color theme="1"/>
        <rFont val="BFU Suisse"/>
        <family val="2"/>
      </rPr>
      <t xml:space="preserve">d.   qu’assez d’opérateurs suffisamment qualifiés sont prévus et que ceux-ci disposent en tout temps d’un accès suffisant aux données et aux informations indispensables concernant l’exploitation des véhicules visées dans le concept d’exploitation ainsi que de postes de travail
        équipés de manière adéquate;
 e.   que la communication entre les opérateurs et les occupants du véhicule au moyen d’une interface audiovisuelle est garantie en tout temps.» 
</t>
    </r>
    <r>
      <rPr>
        <sz val="9"/>
        <rFont val="BFU Suisse"/>
        <family val="2"/>
      </rPr>
      <t>et l’</t>
    </r>
    <r>
      <rPr>
        <b/>
        <sz val="9"/>
        <rFont val="BFU Suisse"/>
        <family val="2"/>
      </rPr>
      <t xml:space="preserve">art. 38, al. 3, let. b, d-f, OCAut: </t>
    </r>
    <r>
      <rPr>
        <b/>
        <i/>
        <sz val="9"/>
        <rFont val="BFU Suisse"/>
        <family val="2"/>
      </rPr>
      <t xml:space="preserve">
</t>
    </r>
    <r>
      <rPr>
        <i/>
        <sz val="9"/>
        <rFont val="BFU Suisse"/>
        <family val="2"/>
      </rPr>
      <t>«Les détenteurs de véhicules doivent s’assurer que: 
b.   le véhicule est piloté sous la surveillance d’un opérateur;
d.   le personnel qualifié et les infrastructures nécessaires pour le pilotage manuel du véhicule sans conducteur en cas de besoin soient disponibles, pour autant que cette fonction soit prévue par le constructeur;
e.   l’opérateur et la personne qui, le cas échéant, pilote manuellement le véhicule sans conducteur ont suivi les formations requises;
f.    les organes de contrôle peuvent entrer en contact avec l’opérateur au moyen de l’interface audiovisuelle du véhicule; si ce dernier ne dispose pas d’une telle interface, il doit exister un autre canal de communication.</t>
    </r>
    <r>
      <rPr>
        <i/>
        <sz val="9"/>
        <color rgb="FFFF0000"/>
        <rFont val="BFU Suisse"/>
        <family val="2"/>
      </rPr>
      <t xml:space="preserve">
</t>
    </r>
    <r>
      <rPr>
        <b/>
        <i/>
        <sz val="9"/>
        <color rgb="FFFF0000"/>
        <rFont val="BFU Suisse"/>
        <family val="2"/>
      </rPr>
      <t xml:space="preserve">
</t>
    </r>
    <r>
      <rPr>
        <sz val="9"/>
        <rFont val="BFU Suisse"/>
        <family val="2"/>
      </rPr>
      <t>et l’</t>
    </r>
    <r>
      <rPr>
        <b/>
        <sz val="9"/>
        <rFont val="BFU Suisse"/>
        <family val="2"/>
      </rPr>
      <t>art. 36, al. 1, let. a-c OCAut:</t>
    </r>
    <r>
      <rPr>
        <b/>
        <i/>
        <sz val="9"/>
        <rFont val="BFU Suisse"/>
        <family val="2"/>
      </rPr>
      <t xml:space="preserve"> 
</t>
    </r>
    <r>
      <rPr>
        <i/>
        <sz val="9"/>
        <rFont val="BFU Suisse"/>
        <family val="2"/>
      </rPr>
      <t xml:space="preserve">Les opérateurs et les personnes qui pilotent manuellement le véhicule sans conducteur doivent: 
a.   posséder l’aptitude et les qualifications nécessaires à la conduite;
b.   durant l’exercice de leur activité, être capables de conduire et ne pas se trouver sous l’influence de l’alcool au sens de l’art. 2a, al. 2, de l’ordonnance du 13 novembre 1962 sur les règles de la circulation routière (OCR);
c.   posséder un permis de conduire autorisant la conduite de véhicules de la catégorie à laquelle appartient le véhicule sans conducteur, le minimum étant toutefois un permis de la catégorie B. 
</t>
    </r>
    <r>
      <rPr>
        <b/>
        <i/>
        <sz val="9"/>
        <rFont val="BFU Suisse"/>
        <family val="2"/>
      </rPr>
      <t xml:space="preserve">
</t>
    </r>
    <r>
      <rPr>
        <sz val="9"/>
        <rFont val="BFU Suisse"/>
        <family val="2"/>
      </rPr>
      <t>et l’</t>
    </r>
    <r>
      <rPr>
        <b/>
        <sz val="9"/>
        <rFont val="BFU Suisse"/>
        <family val="2"/>
      </rPr>
      <t xml:space="preserve">art. 34, al. 4, OCAut: </t>
    </r>
    <r>
      <rPr>
        <b/>
        <i/>
        <sz val="9"/>
        <rFont val="BFU Suisse"/>
        <family val="2"/>
      </rPr>
      <t xml:space="preserve">
</t>
    </r>
    <r>
      <rPr>
        <i/>
        <sz val="9"/>
        <rFont val="BFU Suisse"/>
        <family val="2"/>
      </rPr>
      <t>4 Le lieu de travail des opérateurs doit se trouver en Suisse. Il peut se situer à l’extérieur ou à l’intérieur du véhicule sans conducteur.</t>
    </r>
  </si>
  <si>
    <r>
      <rPr>
        <sz val="9"/>
        <color theme="1"/>
        <rFont val="BFU Suisse"/>
        <family val="2"/>
      </rPr>
      <t>Le bloc d’évaluation suivant porte sur l’</t>
    </r>
    <r>
      <rPr>
        <b/>
        <sz val="9"/>
        <color theme="1"/>
        <rFont val="BFU Suisse"/>
        <family val="2"/>
      </rPr>
      <t xml:space="preserve">art. 45, al. 1, let. b, OCAut: </t>
    </r>
    <r>
      <rPr>
        <sz val="9"/>
        <color theme="1"/>
        <rFont val="BFU Suisse"/>
        <family val="2"/>
      </rPr>
      <t>«</t>
    </r>
    <r>
      <rPr>
        <i/>
        <sz val="9"/>
        <color theme="1"/>
        <rFont val="BFU Suisse"/>
        <family val="2"/>
      </rPr>
      <t>La demande d’autorisation des conditions d’utilisation doit (...) attester que l’infrastructure du tronçon déterminant répond aux exigences techniques requises pour l’exploitation des véhicules sans conducteur.</t>
    </r>
    <r>
      <rPr>
        <sz val="9"/>
        <color theme="1"/>
        <rFont val="BFU Suisse"/>
        <family val="2"/>
      </rPr>
      <t>» et sur l’</t>
    </r>
    <r>
      <rPr>
        <b/>
        <sz val="9"/>
        <color theme="1"/>
        <rFont val="BFU Suisse"/>
        <family val="2"/>
      </rPr>
      <t>art. 43, al. 3, let. c, OCAut:</t>
    </r>
    <r>
      <rPr>
        <sz val="9"/>
        <color theme="1"/>
        <rFont val="BFU Suisse"/>
        <family val="2"/>
      </rPr>
      <t xml:space="preserve"> «</t>
    </r>
    <r>
      <rPr>
        <i/>
        <sz val="9"/>
        <color theme="1"/>
        <rFont val="BFU Suisse"/>
        <family val="2"/>
      </rPr>
      <t>La demande doit comprendre l’indication de l’existence ou non de restrictions d’exploitation</t>
    </r>
    <r>
      <rPr>
        <sz val="9"/>
        <color theme="1"/>
        <rFont val="BFU Suisse"/>
        <family val="2"/>
      </rPr>
      <t>».
L’objectif est de vérifier si les conditions d’utilisation inhérentes à la construction (</t>
    </r>
    <r>
      <rPr>
        <i/>
        <sz val="9"/>
        <color theme="1"/>
        <rFont val="BFU Suisse"/>
        <family val="2"/>
      </rPr>
      <t>operational design domain</t>
    </r>
    <r>
      <rPr>
        <sz val="9"/>
        <color theme="1"/>
        <rFont val="BFU Suisse"/>
        <family val="2"/>
      </rPr>
      <t>, ODD, ou les limites d’exploitation spécifiques au véhicule) sont compatibles avec l’infrastructure dans les conditions d’utilisation faisant l’objet de la demande (</t>
    </r>
    <r>
      <rPr>
        <i/>
        <sz val="9"/>
        <color theme="1"/>
        <rFont val="BFU Suisse"/>
        <family val="2"/>
      </rPr>
      <t>target operational domain</t>
    </r>
    <r>
      <rPr>
        <sz val="9"/>
        <color theme="1"/>
        <rFont val="BFU Suisse"/>
        <family val="2"/>
      </rPr>
      <t xml:space="preserve">, TOD). La base de l’évaluation est la norme ISO 34503. </t>
    </r>
  </si>
  <si>
    <r>
      <rPr>
        <i/>
        <sz val="9"/>
        <color theme="1"/>
        <rFont val="BFU Suisse"/>
        <family val="2"/>
      </rPr>
      <t xml:space="preserve">Concerne: vitesse maximale du véhicule
</t>
    </r>
    <r>
      <rPr>
        <sz val="9"/>
        <color theme="1"/>
        <rFont val="BFU Suisse"/>
        <family val="2"/>
      </rPr>
      <t>La</t>
    </r>
    <r>
      <rPr>
        <b/>
        <sz val="9"/>
        <color theme="4"/>
        <rFont val="BFU Suisse"/>
        <family val="2"/>
      </rPr>
      <t xml:space="preserve"> vitesse maximale du véhicule inhérente à sa construction </t>
    </r>
    <r>
      <rPr>
        <sz val="9"/>
        <color theme="1"/>
        <rFont val="BFU Suisse"/>
        <family val="2"/>
      </rPr>
      <t xml:space="preserve">est </t>
    </r>
    <r>
      <rPr>
        <sz val="9"/>
        <color theme="4"/>
        <rFont val="BFU Suisse"/>
        <family val="2"/>
      </rPr>
      <t>au moins égale à la vitesse maximale autorisée</t>
    </r>
    <r>
      <rPr>
        <sz val="9"/>
        <color theme="1"/>
        <rFont val="BFU Suisse"/>
        <family val="2"/>
      </rPr>
      <t xml:space="preserve"> sur le tronçon faisant l’objet de la demande. 
</t>
    </r>
    <r>
      <rPr>
        <i/>
        <u/>
        <sz val="9"/>
        <color theme="1"/>
        <rFont val="BFU Suisse"/>
        <family val="2"/>
      </rPr>
      <t xml:space="preserve">Indications pour l’évaluation: </t>
    </r>
    <r>
      <rPr>
        <i/>
        <sz val="9"/>
        <color theme="1"/>
        <rFont val="BFU Suisse"/>
        <family val="2"/>
      </rPr>
      <t xml:space="preserve">
Les véhicules techniquement incapables d’atteindre au moins 80 km/h ne sont pas admis sur les autoroutes et semi-autoroutes (selon l’art. 35, al. 1, OCR).
Si le résultat de l’évaluation est «oui», l’évaluation du point suivant n’est pas nécessaire. </t>
    </r>
  </si>
  <si>
    <r>
      <rPr>
        <i/>
        <sz val="9"/>
        <color theme="1"/>
        <rFont val="BFU Suisse"/>
        <family val="2"/>
      </rPr>
      <t xml:space="preserve">Concerne: nombre suffisant d’opérateur·rices
</t>
    </r>
    <r>
      <rPr>
        <sz val="9"/>
        <color theme="1"/>
        <rFont val="BFU Suisse"/>
        <family val="2"/>
      </rPr>
      <t xml:space="preserve">
</t>
    </r>
    <r>
      <rPr>
        <b/>
        <sz val="9"/>
        <color theme="1"/>
        <rFont val="BFU Suisse"/>
        <family val="2"/>
      </rPr>
      <t>Un nombre</t>
    </r>
    <r>
      <rPr>
        <sz val="9"/>
        <color theme="1"/>
        <rFont val="BFU Suisse"/>
        <family val="2"/>
      </rPr>
      <t xml:space="preserve"> </t>
    </r>
    <r>
      <rPr>
        <b/>
        <sz val="9"/>
        <color theme="4"/>
        <rFont val="BFU Suisse"/>
        <family val="2"/>
      </rPr>
      <t xml:space="preserve">suffisant d’opérateur·rices </t>
    </r>
    <r>
      <rPr>
        <sz val="9"/>
        <color theme="4"/>
        <rFont val="BFU Suisse"/>
        <family val="2"/>
      </rPr>
      <t>est prévu</t>
    </r>
    <r>
      <rPr>
        <sz val="9"/>
        <rFont val="BFU Suisse"/>
        <family val="2"/>
      </rPr>
      <t>.</t>
    </r>
    <r>
      <rPr>
        <sz val="9"/>
        <color theme="1"/>
        <rFont val="BFU Suisse"/>
        <family val="2"/>
      </rPr>
      <t xml:space="preserve"> 
</t>
    </r>
    <r>
      <rPr>
        <i/>
        <u/>
        <sz val="9"/>
        <color theme="1"/>
        <rFont val="BFU Suisse"/>
        <family val="2"/>
      </rPr>
      <t xml:space="preserve">Aide à l’évaluation: </t>
    </r>
    <r>
      <rPr>
        <sz val="9"/>
        <color theme="1"/>
        <rFont val="BFU Suisse"/>
        <family val="2"/>
      </rPr>
      <t xml:space="preserve">
</t>
    </r>
    <r>
      <rPr>
        <i/>
        <sz val="9"/>
        <color theme="1"/>
        <rFont val="BFU Suisse"/>
        <family val="2"/>
      </rPr>
      <t>Le nombre suffisant d’opérateur·rices dépend de différents facteurs, notamment de la complexité de l’environnement d’utilisation. Pour l’exploitation de véhicules sans conducteur dans l’espace routier public – en particulier dans des lieux de complexité moyenne (agglomérations) et de haute complexité (trafic urbain mixte,</t>
    </r>
    <r>
      <rPr>
        <i/>
        <sz val="9"/>
        <rFont val="BFU Suisse"/>
        <family val="2"/>
      </rPr>
      <t xml:space="preserve"> centre-ville</t>
    </r>
    <r>
      <rPr>
        <i/>
        <sz val="9"/>
        <color theme="1"/>
        <rFont val="BFU Suisse"/>
        <family val="2"/>
      </rPr>
      <t xml:space="preserve">) – le </t>
    </r>
    <r>
      <rPr>
        <i/>
        <sz val="9"/>
        <color theme="4"/>
        <rFont val="BFU Suisse"/>
        <family val="2"/>
      </rPr>
      <t>ratio opérateur·rice/véhicules (ROV) devrait se situer entre 1:5 et 1:9 au maximum</t>
    </r>
    <r>
      <rPr>
        <i/>
        <sz val="9"/>
        <rFont val="BFU Suisse"/>
        <family val="2"/>
      </rPr>
      <t>.</t>
    </r>
    <r>
      <rPr>
        <i/>
        <sz val="9"/>
        <color theme="1"/>
        <rFont val="BFU Suisse"/>
        <family val="2"/>
      </rPr>
      <t xml:space="preserve">
Dans</t>
    </r>
    <r>
      <rPr>
        <i/>
        <sz val="9"/>
        <color theme="4"/>
        <rFont val="BFU Suisse"/>
        <family val="2"/>
      </rPr>
      <t xml:space="preserve"> le trafic en centre-ville</t>
    </r>
    <r>
      <rPr>
        <i/>
        <sz val="9"/>
        <color theme="1"/>
        <rFont val="BFU Suisse"/>
        <family val="2"/>
      </rPr>
      <t xml:space="preserve">, il est généralement recommandé de viser un </t>
    </r>
    <r>
      <rPr>
        <i/>
        <sz val="9"/>
        <color theme="4"/>
        <rFont val="BFU Suisse"/>
        <family val="2"/>
      </rPr>
      <t>ROV d’au maximum 1:5</t>
    </r>
    <r>
      <rPr>
        <i/>
        <sz val="9"/>
        <color theme="1"/>
        <rFont val="BFU Suisse"/>
        <family val="2"/>
      </rPr>
      <t xml:space="preserve">, car l’environnement y est fortement dynamique et interactif, ce qui peut nécessiter des interventions plus fréquentes de la part des opérateur·rices.
Si le </t>
    </r>
    <r>
      <rPr>
        <i/>
        <sz val="9"/>
        <color theme="4"/>
        <rFont val="BFU Suisse"/>
        <family val="2"/>
      </rPr>
      <t>constructeur automobile fixe un ROV maximal spécifique</t>
    </r>
    <r>
      <rPr>
        <i/>
        <sz val="9"/>
        <color theme="1"/>
        <rFont val="BFU Suisse"/>
        <family val="2"/>
      </rPr>
      <t xml:space="preserve"> (p. ex. 1:1), cette valeur ne doit pas être dépassée. 
</t>
    </r>
    <r>
      <rPr>
        <i/>
        <sz val="9"/>
        <color theme="4"/>
        <rFont val="BFU Suisse"/>
        <family val="2"/>
      </rPr>
      <t>Si un ratio supérieur à 1:5 est proposé, cela doit être justifié de manière compréhensible</t>
    </r>
    <r>
      <rPr>
        <i/>
        <sz val="9"/>
        <color theme="1"/>
        <rFont val="BFU Suisse"/>
        <family val="2"/>
      </rPr>
      <t>, p. ex. par: des valeurs empiriques ou des résultats provenant d’utilisations comparables; des taux d’intervention documentés dans des contextes de circulation réels similaires ou par simulation; des systèmes d’assistance technique réduisant la charge de surveillance.
Une augmentation progressive du ROV est en principe possible, à condition que l’exploitation, lors de la phase initiale (p. ex. avec un ratio de 1:5), se déroule de manière sûre et stable et qu’aucun problème pertinent pour la sécurité ne soit constaté.
(référence: Bogg, A. &amp; Birrell, S. (2025). Overloaded, underloaded or in control: How many automated vehicles can one person supervise? Computers in Human Behavior, 170)</t>
    </r>
  </si>
  <si>
    <r>
      <rPr>
        <i/>
        <sz val="9"/>
        <color theme="1"/>
        <rFont val="BFU Suisse"/>
        <family val="2"/>
      </rPr>
      <t>Concerne: équipement adéquat du poste de travail</t>
    </r>
    <r>
      <rPr>
        <sz val="9"/>
        <color theme="1"/>
        <rFont val="BFU Suisse"/>
        <family val="2"/>
      </rPr>
      <t xml:space="preserve">
La demande d’autorisation </t>
    </r>
    <r>
      <rPr>
        <b/>
        <sz val="9"/>
        <color theme="1"/>
        <rFont val="BFU Suisse"/>
        <family val="2"/>
      </rPr>
      <t>décrit</t>
    </r>
    <r>
      <rPr>
        <sz val="9"/>
        <color theme="1"/>
        <rFont val="BFU Suisse"/>
        <family val="2"/>
      </rPr>
      <t xml:space="preserve"> l’</t>
    </r>
    <r>
      <rPr>
        <b/>
        <sz val="9"/>
        <color theme="4"/>
        <rFont val="BFU Suisse"/>
        <family val="2"/>
      </rPr>
      <t>infrastructure</t>
    </r>
    <r>
      <rPr>
        <sz val="9"/>
        <color theme="4"/>
        <rFont val="BFU Suisse"/>
        <family val="2"/>
      </rPr>
      <t xml:space="preserve"> nécessaire</t>
    </r>
    <r>
      <rPr>
        <sz val="9"/>
        <color theme="1"/>
        <rFont val="BFU Suisse"/>
        <family val="2"/>
      </rPr>
      <t xml:space="preserve"> pour que l’opérateur·rice puisse s’acquitter de ses </t>
    </r>
    <r>
      <rPr>
        <sz val="9"/>
        <color theme="4"/>
        <rFont val="BFU Suisse"/>
        <family val="2"/>
      </rPr>
      <t>tâches</t>
    </r>
    <r>
      <rPr>
        <sz val="9"/>
        <color theme="1"/>
        <rFont val="BFU Suisse"/>
        <family val="2"/>
      </rPr>
      <t xml:space="preserve"> conformément aux instructions du constructeur et aux exigences figurant à l’art. 34, al. 2, let. a-i, OCAut</t>
    </r>
    <r>
      <rPr>
        <sz val="9"/>
        <color theme="4"/>
        <rFont val="BFU Suisse"/>
        <family val="2"/>
      </rPr>
      <t>.</t>
    </r>
    <r>
      <rPr>
        <sz val="9"/>
        <color theme="1"/>
        <rFont val="BFU Suisse"/>
        <family val="2"/>
      </rPr>
      <t xml:space="preserve">
</t>
    </r>
    <r>
      <rPr>
        <i/>
        <u/>
        <sz val="9"/>
        <color theme="1"/>
        <rFont val="BFU Suisse"/>
        <family val="2"/>
      </rPr>
      <t xml:space="preserve">Indications pour l’évaluation: 
</t>
    </r>
    <r>
      <rPr>
        <i/>
        <sz val="9"/>
        <color theme="1"/>
        <rFont val="BFU Suisse"/>
        <family val="2"/>
      </rPr>
      <t>Pour chaque tâche mentionnée à l’art. 34, al. 2, let. a-i, OCAut, il devrait être clairement expliqué quelle infrastructure est nécessaire à son exécution. Si le constructeur impose des exigences supplémentaires concernant les tâches à exécuter ou l’infrastructure requise à cet effet, celles-ci devraient également être indiquées. Éléments minimum devant figurer dans la demande: systèmes d’affichage (p. ex. écrans pour l’affichage de l</t>
    </r>
    <r>
      <rPr>
        <i/>
        <sz val="9"/>
        <rFont val="BFU Suisse"/>
        <family val="2"/>
      </rPr>
      <t>’état</t>
    </r>
    <r>
      <rPr>
        <i/>
        <sz val="9"/>
        <color theme="1"/>
        <rFont val="BFU Suisse"/>
        <family val="2"/>
      </rPr>
      <t xml:space="preserve"> du véhicule), systèmes audio (p. ex. pour la communication avec les passager·ères), installations de télécommunication, périphériques d’entrée (clavier, souris, etc.).
Le nombre et la disposition des écrans doivent permettre de visualiser immédiatement les informations critiques (p. ex. vue d’ensemble de tous les véhicules surveillés, alarmes, informations s</t>
    </r>
    <r>
      <rPr>
        <i/>
        <sz val="9"/>
        <rFont val="BFU Suisse"/>
        <family val="2"/>
      </rPr>
      <t>ur l’état</t>
    </r>
    <r>
      <rPr>
        <i/>
        <sz val="9"/>
        <color theme="1"/>
        <rFont val="BFU Suisse"/>
        <family val="2"/>
      </rPr>
      <t>) ainsi que les fonctions essentielles (p. ex. canaux de communication) et d’y accéder simultanément, sans devoir changer de fenêtre ou d’affichage. En règle générale, cela nécessite au moins deux écrans, probablement plus selon la complexité du système, pour éviter toute superposition visuelle. 
Si certaines informations ne sont accessibles qu’en changeant activement d’affichage, il faut justifier pourquoi cela est approprié et acceptable dans le cas concret (p. ex. pour la transmission vidéo en direct). La visibilité des informations importantes pour la sécurité ne devrait pas être limitée (p. ex. par des affichages qui se chevauchent ou se masquent).  (d’après ISO 9241-112 et NUREG-0700)</t>
    </r>
  </si>
  <si>
    <r>
      <rPr>
        <i/>
        <sz val="9"/>
        <color theme="1"/>
        <rFont val="BFU Suisse"/>
        <family val="2"/>
      </rPr>
      <t>Concerne: surveillance fiable de l’exploitation</t>
    </r>
    <r>
      <rPr>
        <sz val="9"/>
        <color rgb="FF00B050"/>
        <rFont val="BFU Suisse"/>
        <family val="2"/>
      </rPr>
      <t xml:space="preserve">
</t>
    </r>
    <r>
      <rPr>
        <sz val="9"/>
        <color theme="1"/>
        <rFont val="BFU Suisse"/>
        <family val="2"/>
      </rPr>
      <t xml:space="preserve">La demande d’autorisation décrit comment il est </t>
    </r>
    <r>
      <rPr>
        <sz val="9"/>
        <color theme="4"/>
        <rFont val="BFU Suisse"/>
        <family val="2"/>
      </rPr>
      <t>garanti</t>
    </r>
    <r>
      <rPr>
        <sz val="9"/>
        <color theme="1"/>
        <rFont val="BFU Suisse"/>
        <family val="2"/>
      </rPr>
      <t xml:space="preserve"> que les </t>
    </r>
    <r>
      <rPr>
        <b/>
        <sz val="9"/>
        <color theme="4"/>
        <rFont val="BFU Suisse"/>
        <family val="2"/>
      </rPr>
      <t>véhicules utilisés sont surveillés en permanence</t>
    </r>
    <r>
      <rPr>
        <sz val="9"/>
        <rFont val="BFU Suisse"/>
        <family val="2"/>
      </rPr>
      <t>.</t>
    </r>
    <r>
      <rPr>
        <sz val="9"/>
        <color theme="1"/>
        <rFont val="BFU Suisse"/>
        <family val="2"/>
      </rPr>
      <t xml:space="preserve"> 
</t>
    </r>
    <r>
      <rPr>
        <i/>
        <u/>
        <sz val="9"/>
        <color theme="1"/>
        <rFont val="BFU Suisse"/>
        <family val="2"/>
      </rPr>
      <t xml:space="preserve">Indications pour l’évaluation: </t>
    </r>
    <r>
      <rPr>
        <i/>
        <sz val="9"/>
        <color theme="1"/>
        <rFont val="BFU Suisse"/>
        <family val="2"/>
      </rPr>
      <t xml:space="preserve">
Cela peut prendre la forme de mesures organisationnelles comme la définition de suppléant·es pouvant prendre le relais sans interruption (temporairement) en ca</t>
    </r>
    <r>
      <rPr>
        <i/>
        <sz val="9"/>
        <rFont val="BFU Suisse"/>
        <family val="2"/>
      </rPr>
      <t>s d’absence prévue ou non</t>
    </r>
    <r>
      <rPr>
        <i/>
        <sz val="9"/>
        <color theme="1"/>
        <rFont val="BFU Suisse"/>
        <family val="2"/>
      </rPr>
      <t xml:space="preserve"> (y compris de courte durée, p. ex. lors des pauses régulières ou d’une courte pause individuelle s’avérant nécessaire) ou de surcharge de travail. </t>
    </r>
  </si>
  <si>
    <r>
      <rPr>
        <i/>
        <sz val="9"/>
        <color theme="1"/>
        <rFont val="BFU Suisse"/>
        <family val="2"/>
      </rPr>
      <t>Concerne: process</t>
    </r>
    <r>
      <rPr>
        <i/>
        <sz val="9"/>
        <rFont val="BFU Suisse"/>
        <family val="2"/>
      </rPr>
      <t>us d’exploitation</t>
    </r>
    <r>
      <rPr>
        <sz val="9"/>
        <color theme="1"/>
        <rFont val="BFU Suisse"/>
        <family val="2"/>
      </rPr>
      <t xml:space="preserve">
La demande</t>
    </r>
    <r>
      <rPr>
        <sz val="9"/>
        <rFont val="BFU Suisse"/>
        <family val="2"/>
      </rPr>
      <t xml:space="preserve"> d’autorisation décrit comment</t>
    </r>
    <r>
      <rPr>
        <sz val="9"/>
        <color theme="1"/>
        <rFont val="BFU Suisse"/>
        <family val="2"/>
      </rPr>
      <t xml:space="preserve"> </t>
    </r>
    <r>
      <rPr>
        <sz val="9"/>
        <rFont val="BFU Suisse"/>
        <family val="2"/>
      </rPr>
      <t>sont gérées</t>
    </r>
    <r>
      <rPr>
        <sz val="9"/>
        <color theme="1"/>
        <rFont val="BFU Suisse"/>
        <family val="2"/>
      </rPr>
      <t xml:space="preserve"> </t>
    </r>
    <r>
      <rPr>
        <sz val="9"/>
        <color theme="4"/>
        <rFont val="BFU Suisse"/>
        <family val="2"/>
      </rPr>
      <t xml:space="preserve">les </t>
    </r>
    <r>
      <rPr>
        <b/>
        <sz val="9"/>
        <color theme="4"/>
        <rFont val="BFU Suisse"/>
        <family val="2"/>
      </rPr>
      <t>perturbations opérationnelles et les situations d’exploitation exceptionnelles</t>
    </r>
    <r>
      <rPr>
        <sz val="9"/>
        <rFont val="BFU Suisse"/>
        <family val="2"/>
      </rPr>
      <t>.</t>
    </r>
    <r>
      <rPr>
        <sz val="9"/>
        <color theme="1"/>
        <rFont val="BFU Suisse"/>
        <family val="2"/>
      </rPr>
      <t xml:space="preserve"> 
</t>
    </r>
    <r>
      <rPr>
        <i/>
        <u/>
        <sz val="9"/>
        <color theme="1"/>
        <rFont val="BFU Suisse"/>
        <family val="2"/>
      </rPr>
      <t xml:space="preserve">Indications pour l’évaluation: 
</t>
    </r>
    <r>
      <rPr>
        <i/>
        <sz val="9"/>
        <color theme="1"/>
        <rFont val="BFU Suisse"/>
        <family val="2"/>
      </rPr>
      <t>Cela peut inclure: 
- des procédures standardisées en cas de perturbation, c’est-à-dire pour le traitement d’</t>
    </r>
    <r>
      <rPr>
        <i/>
        <sz val="9"/>
        <color theme="4"/>
        <rFont val="BFU Suisse"/>
        <family val="2"/>
      </rPr>
      <t>incidents techniques et non techniques</t>
    </r>
    <r>
      <rPr>
        <i/>
        <sz val="9"/>
        <color theme="1"/>
        <rFont val="BFU Suisse"/>
        <family val="2"/>
      </rPr>
      <t xml:space="preserve">, y compris les possibilités d’intervention par les opérateur·rices et/ou les mesures à prendre
- des procédures en cas de </t>
    </r>
    <r>
      <rPr>
        <i/>
        <sz val="9"/>
        <color theme="4"/>
        <rFont val="BFU Suisse"/>
        <family val="2"/>
      </rPr>
      <t>dysfonctionnements parallèles</t>
    </r>
    <r>
      <rPr>
        <i/>
        <sz val="9"/>
        <rFont val="BFU Suisse"/>
        <family val="2"/>
      </rPr>
      <t xml:space="preserve"> (p. ex. </t>
    </r>
    <r>
      <rPr>
        <i/>
        <sz val="9"/>
        <color theme="1"/>
        <rFont val="BFU Suisse"/>
        <family val="2"/>
      </rPr>
      <t xml:space="preserve">si et comment une priorisation ou une approche en cascade du traitement assistée par le système est effectuée et comment le traitement est effectué (p. ex. répartition des tâches) 
- des procédures lors de la </t>
    </r>
    <r>
      <rPr>
        <i/>
        <sz val="9"/>
        <color theme="4"/>
        <rFont val="BFU Suisse"/>
        <family val="2"/>
      </rPr>
      <t xml:space="preserve">remise en service de véhicules immobilisés </t>
    </r>
    <r>
      <rPr>
        <i/>
        <sz val="9"/>
        <color theme="1"/>
        <rFont val="BFU Suisse"/>
        <family val="2"/>
      </rPr>
      <t>(p. ex. après une panne, des phénomènes météorologiques comme la pluie, etc.)</t>
    </r>
  </si>
  <si>
    <r>
      <rPr>
        <i/>
        <sz val="9"/>
        <color theme="1"/>
        <rFont val="BFU Suisse"/>
        <family val="2"/>
      </rPr>
      <t xml:space="preserve">Concerne: </t>
    </r>
    <r>
      <rPr>
        <i/>
        <sz val="9"/>
        <rFont val="BFU Suisse"/>
        <family val="2"/>
      </rPr>
      <t>processus d’exploitation et ob</t>
    </r>
    <r>
      <rPr>
        <i/>
        <sz val="9"/>
        <color theme="1"/>
        <rFont val="BFU Suisse"/>
        <family val="2"/>
      </rPr>
      <t>ligations du·de la détenteur·rice du véhicule</t>
    </r>
    <r>
      <rPr>
        <sz val="9"/>
        <color theme="1"/>
        <rFont val="BFU Suisse"/>
        <family val="2"/>
      </rPr>
      <t xml:space="preserve">
La demande d’autorisation décrit </t>
    </r>
    <r>
      <rPr>
        <sz val="9"/>
        <color theme="4"/>
        <rFont val="BFU Suisse"/>
        <family val="2"/>
      </rPr>
      <t>comment les détenteur·rices de véhicules s’assurent</t>
    </r>
    <r>
      <rPr>
        <sz val="9"/>
        <color theme="1"/>
        <rFont val="BFU Suisse"/>
        <family val="2"/>
      </rPr>
      <t xml:space="preserve"> qu’en cas d’</t>
    </r>
    <r>
      <rPr>
        <b/>
        <sz val="9"/>
        <color theme="4"/>
        <rFont val="BFU Suisse"/>
        <family val="2"/>
      </rPr>
      <t>arrêt du véhicule entravant la circulation</t>
    </r>
    <r>
      <rPr>
        <sz val="9"/>
        <color theme="1"/>
        <rFont val="BFU Suisse"/>
        <family val="2"/>
      </rPr>
      <t xml:space="preserve">, </t>
    </r>
    <r>
      <rPr>
        <b/>
        <sz val="9"/>
        <color theme="4"/>
        <rFont val="BFU Suisse"/>
        <family val="2"/>
      </rPr>
      <t>des mesures seront prises sans délai</t>
    </r>
    <r>
      <rPr>
        <sz val="9"/>
        <color theme="1"/>
        <rFont val="BFU Suisse"/>
        <family val="2"/>
      </rPr>
      <t xml:space="preserve"> afin de faire enlever le véhicule de la chaussée par un service de remorquage ou de dépannage s’il ne peut pas être évacué de l’aire de circulation
d’une autre manière. </t>
    </r>
  </si>
  <si>
    <r>
      <rPr>
        <i/>
        <sz val="9"/>
        <color theme="1"/>
        <rFont val="BFU Suisse"/>
        <family val="2"/>
      </rPr>
      <t xml:space="preserve">Si la réponse au point </t>
    </r>
    <r>
      <rPr>
        <i/>
        <sz val="9"/>
        <rFont val="BFU Suisse"/>
        <family val="2"/>
      </rPr>
      <t>4.1</t>
    </r>
    <r>
      <rPr>
        <i/>
        <sz val="9"/>
        <color theme="1"/>
        <rFont val="BFU Suisse"/>
        <family val="2"/>
      </rPr>
      <t xml:space="preserve"> est «oui»: </t>
    </r>
    <r>
      <rPr>
        <sz val="9"/>
        <color theme="1"/>
        <rFont val="BFU Suisse"/>
        <family val="2"/>
      </rPr>
      <t xml:space="preserve">
La demande d’autorisation désigne une </t>
    </r>
    <r>
      <rPr>
        <b/>
        <sz val="9"/>
        <color theme="4"/>
        <rFont val="BFU Suisse"/>
        <family val="2"/>
      </rPr>
      <t>personne physique</t>
    </r>
    <r>
      <rPr>
        <sz val="9"/>
        <color theme="1"/>
        <rFont val="BFU Suisse"/>
        <family val="2"/>
      </rPr>
      <t xml:space="preserve"> chargée de veiller au respect des obligations. </t>
    </r>
  </si>
  <si>
    <t>non</t>
  </si>
  <si>
    <t>oui</t>
  </si>
  <si>
    <r>
      <t xml:space="preserve">Attestation du constructeur
</t>
    </r>
    <r>
      <rPr>
        <sz val="12"/>
        <color theme="3"/>
        <rFont val="BFU Suisse"/>
        <family val="2"/>
      </rPr>
      <t>(peut être rassemblée dans un seul document comme preuve globale de la capacité à gérer les différentesconstellations)</t>
    </r>
  </si>
  <si>
    <t>Document xy</t>
  </si>
  <si>
    <t>Section 1</t>
  </si>
  <si>
    <t>(facultatif)</t>
  </si>
  <si>
    <t>en localité</t>
  </si>
  <si>
    <t>en localité|non|&amp;gt;3|non|non|acceptable|fluide|non|oui|non|non|oui|élevé</t>
  </si>
  <si>
    <t>Section 2</t>
  </si>
  <si>
    <t>innerorts|nein|3|nein|nein|sicher|akzeptabel|nein|nein|nein|nein|nein|mittel</t>
  </si>
  <si>
    <t>Section 3</t>
  </si>
  <si>
    <t>innerorts|nein|3|ja|ja|sicher|fliessend|nein|nein|nein|nein|nein|niedrig</t>
  </si>
  <si>
    <t>Section 4</t>
  </si>
  <si>
    <t>innerorts|nein|3|nein|nein|sicher|akzeptabel|nein|nein|ja|nein|ja|hoch</t>
  </si>
  <si>
    <t>Section 5</t>
  </si>
  <si>
    <t>innerorts|nein|3|nein|nein|sicher|instabil|nein|nein|nein|nein|nein|hoch</t>
  </si>
  <si>
    <t>Section 6</t>
  </si>
  <si>
    <t>innerorts|nein|&gt;3|ja|nein|sicher|fliessend|nein|nein|nein|nein|nein|niedrig</t>
  </si>
  <si>
    <t>Section 7</t>
  </si>
  <si>
    <t>innerorts|ja|&gt;3|-|nein|sicher|fliessend|nein|nein|nein|ja|ja|hoch</t>
  </si>
  <si>
    <t>Section 8</t>
  </si>
  <si>
    <t>innerorts|nein|&gt;3|nein|ja|akzeptabel|akzeptabel|nein|nein|nein|nein|nein|mittel</t>
  </si>
  <si>
    <t>Section 9</t>
  </si>
  <si>
    <t>innerorts|nein|3|nein|nein|sicher|fliessend|nein|nein|nein|nein|nein|niedrig</t>
  </si>
  <si>
    <t>Section 10</t>
  </si>
  <si>
    <t>Section 11</t>
  </si>
  <si>
    <t>innerorts|nein|3|nein|ja|sicher|fliessend|nein|nein|nein|nein|nein|niedrig</t>
  </si>
  <si>
    <t>Section 12</t>
  </si>
  <si>
    <t>Section 13</t>
  </si>
  <si>
    <t>innerorts|nein|3|nein|nein|sicher|instabil|nein|ja|nein|nein|ja|hoch</t>
  </si>
  <si>
    <t>Section 14</t>
  </si>
  <si>
    <t>Section 15</t>
  </si>
  <si>
    <t>hors localité</t>
  </si>
  <si>
    <t>ausserorts|nein|3|ja|ja|sicher|fliessend|nein|nein|nein|nein|nein|niedrig</t>
  </si>
  <si>
    <t>Section 16</t>
  </si>
  <si>
    <t>Section 17</t>
  </si>
  <si>
    <t>innerorts|nein|&gt;3|ja|nein|sicher|fliessend|nein|ja|ja|nein|ja|hoch</t>
  </si>
  <si>
    <t>Section 18</t>
  </si>
  <si>
    <t>Section 19</t>
  </si>
  <si>
    <t>Section 20</t>
  </si>
  <si>
    <t>innerorts|nein|3|nein|nein|sicher|akzeptabel|nein|nein|nein|ja|ja|hoch</t>
  </si>
  <si>
    <t>Section 21</t>
  </si>
  <si>
    <t>Section 22</t>
  </si>
  <si>
    <t>Section 23</t>
  </si>
  <si>
    <t>innerorts|nein|3|nein|nein|sicher|fliessend|nein|nein|nein|ja|ja|hoch</t>
  </si>
  <si>
    <t>Section 24</t>
  </si>
  <si>
    <t>innerorts|nein|&gt;3|nein|nein|akzeptabel|akzeptabel|nein|nein|nein|nein|nein|mittel</t>
  </si>
  <si>
    <t>Section 25</t>
  </si>
  <si>
    <t>Section 26</t>
  </si>
  <si>
    <t>Section 27</t>
  </si>
  <si>
    <t>Section 28</t>
  </si>
  <si>
    <t>innerorts|nein|&gt;3|nein|nein|akzeptabel|akzeptabel|nein|nein|ja|nein|ja|hoch</t>
  </si>
  <si>
    <t>Section 29</t>
  </si>
  <si>
    <t>Section 30</t>
  </si>
  <si>
    <t>innerorts|nein|3|nein|ja|sicher|instabil|nein|nein|nein|nein|nein|hoch</t>
  </si>
  <si>
    <t>Section 31</t>
  </si>
  <si>
    <t>innerorts|nein|3|nein|ja|sicher|instabil|nein|nein|ja|nein|ja|hoch</t>
  </si>
  <si>
    <t>Section 32</t>
  </si>
  <si>
    <t>innerorts|nein|3|ja|nein|sicher|fliessend|nein|nein|nein|nein|nein|niedrig</t>
  </si>
  <si>
    <t>Section 33</t>
  </si>
  <si>
    <t>en localité|non|3|non|non|sûr|fluide|non|non|non|non|non|faible</t>
  </si>
  <si>
    <t>Section 34</t>
  </si>
  <si>
    <t>Section 35</t>
  </si>
  <si>
    <t>Section 36</t>
  </si>
  <si>
    <t>innerorts|nein|&gt;3|nein|nein|akzeptabel|fliessend|nein|nein|nein|ja|ja|hoch</t>
  </si>
  <si>
    <t>Section 37</t>
  </si>
  <si>
    <t>innerorts|nein|&gt;3|nein|nein|akzeptabel|fliessend|nein|nein|nein|nein|nein|mittel</t>
  </si>
  <si>
    <t>Section 38</t>
  </si>
  <si>
    <t>Section 39</t>
  </si>
  <si>
    <t>Section 40</t>
  </si>
  <si>
    <t>Section 41</t>
  </si>
  <si>
    <t>Section 42</t>
  </si>
  <si>
    <t>Section 43</t>
  </si>
  <si>
    <t>innerorts|nein|3|nein|ja|sicher|fliessend|nein|ja|nein|ja|ja|hoch</t>
  </si>
  <si>
    <t>Section 44</t>
  </si>
  <si>
    <t>Section 45</t>
  </si>
  <si>
    <t>Section 46</t>
  </si>
  <si>
    <t>Section 47</t>
  </si>
  <si>
    <t>Section 48</t>
  </si>
  <si>
    <t>Section 49</t>
  </si>
  <si>
    <t>Section 50</t>
  </si>
  <si>
    <t>Section 51</t>
  </si>
  <si>
    <t>Section 52</t>
  </si>
  <si>
    <t>innerorts|nein|3|nein|ja|akzeptabel|instabil|ja|nein|nein|nein|ja|hoch</t>
  </si>
  <si>
    <t>Section 53</t>
  </si>
  <si>
    <t>innerorts|nein|&gt;3|ja|ja|sicher|fliessend|nein|nein|nein|nein|nein|niedrig</t>
  </si>
  <si>
    <t>Section 54</t>
  </si>
  <si>
    <t>Section 55</t>
  </si>
  <si>
    <t>Section 56</t>
  </si>
  <si>
    <t>innerorts|nein|3|nein|ja|sicher|akzeptabel|nein|nein|nein|nein|nein|mittel</t>
  </si>
  <si>
    <t>Section 57</t>
  </si>
  <si>
    <t>innerorts|nein|&gt;3|nein|ja|akzeptabel|fliessend|nein|nein|nein|nein|nein|mittel</t>
  </si>
  <si>
    <t>Section 58</t>
  </si>
  <si>
    <t>Section 59</t>
  </si>
  <si>
    <t>innerorts|nein|&gt;3|ja|nein|sicher|fliessend|nein|nein|ja|ja|ja|hoch</t>
  </si>
  <si>
    <t>Section 60</t>
  </si>
  <si>
    <t>Section 61</t>
  </si>
  <si>
    <t>Section 62</t>
  </si>
  <si>
    <t>Section 63</t>
  </si>
  <si>
    <t>Section 64</t>
  </si>
  <si>
    <t>Section 65</t>
  </si>
  <si>
    <t>en localité|non|&amp;gt;3|oui|non|sûr|fluide|non|non|non|non|non|faible</t>
  </si>
  <si>
    <t>Section 66</t>
  </si>
  <si>
    <t>Route Principale</t>
  </si>
  <si>
    <t>Circulation mixte</t>
  </si>
  <si>
    <t>Sans</t>
  </si>
  <si>
    <t>innerorts|-|-|-|-|akzeptabel|akzeptabel|nein|nein|nein|nein|nein|mittel</t>
  </si>
  <si>
    <t>Section 67</t>
  </si>
  <si>
    <t>Bande cyclable</t>
  </si>
  <si>
    <t>innerorts|-|-|-|-|kritisch|akzeptabel|nein|nein|nein|nein|nein|hoch</t>
  </si>
  <si>
    <t>Section 68</t>
  </si>
  <si>
    <t>Section 69</t>
  </si>
  <si>
    <t>Section 70</t>
  </si>
  <si>
    <t>Section 71</t>
  </si>
  <si>
    <t>Section 72</t>
  </si>
  <si>
    <t>Section 73</t>
  </si>
  <si>
    <t>innerorts|-|-|-|-|sicher|fliessend|nein|nein|nein|nein|nein|niedrig</t>
  </si>
  <si>
    <t>Section 74</t>
  </si>
  <si>
    <t>Section 75</t>
  </si>
  <si>
    <t>Section 76</t>
  </si>
  <si>
    <t>innerorts|-|-|-|-|akzeptabel|akzeptabel|nein|nein|ja|ja|ja|hoch</t>
  </si>
  <si>
    <t>Section 77</t>
  </si>
  <si>
    <t>Section 78</t>
  </si>
  <si>
    <t>innerorts|-|-|-|-|akzeptabel|instabil|nein|nein|nein|nein|nein|hoch</t>
  </si>
  <si>
    <t>Section 79</t>
  </si>
  <si>
    <t>Section 80</t>
  </si>
  <si>
    <t>Piste cyclable</t>
  </si>
  <si>
    <t>Section 81</t>
  </si>
  <si>
    <t>Section 82</t>
  </si>
  <si>
    <t>innerorts|-|-|-|-|kritisch|instabil|nein|nein|nein|nein|nein|hoch</t>
  </si>
  <si>
    <t>Section 83</t>
  </si>
  <si>
    <t>ausserorts|-|-|-|-|sicher|fliessend|nein|nein|nein|nein|nein|niedrig</t>
  </si>
  <si>
    <t>Section 84</t>
  </si>
  <si>
    <t>Section 85</t>
  </si>
  <si>
    <t>innerorts|-|-|-|-|akzeptabel|instabil|nein|nein|ja|nein|ja|hoch</t>
  </si>
  <si>
    <t>Section 86</t>
  </si>
  <si>
    <t>Section 87</t>
  </si>
  <si>
    <t>innerorts|-|-|-|-|akzeptabel|akzeptabel|nein|ja|nein|nein|ja|hoch</t>
  </si>
  <si>
    <t>Section 88</t>
  </si>
  <si>
    <t>Section 89</t>
  </si>
  <si>
    <t>innerorts|-|-|-|-|akzeptabel|akzeptabel|ja|nein|nein|nein|ja|hoch</t>
  </si>
  <si>
    <t>Section 90</t>
  </si>
  <si>
    <t>Section 91</t>
  </si>
  <si>
    <t>Section 92</t>
  </si>
  <si>
    <t>Section 93</t>
  </si>
  <si>
    <t>Section 94</t>
  </si>
  <si>
    <t>Section 95</t>
  </si>
  <si>
    <t>Section 96</t>
  </si>
  <si>
    <t>Section 97</t>
  </si>
  <si>
    <t>en localité|-|-|-|-|sûr|circulation fluide|non|non|non|non|non|faible</t>
  </si>
  <si>
    <t>Section 98</t>
  </si>
  <si>
    <t>Section 99</t>
  </si>
  <si>
    <t>Section 100</t>
  </si>
  <si>
    <t>Section 101</t>
  </si>
  <si>
    <t>Section 102</t>
  </si>
  <si>
    <t>Section 103</t>
  </si>
  <si>
    <t>Section 104</t>
  </si>
  <si>
    <t>Section 105</t>
  </si>
  <si>
    <t>Section 106</t>
  </si>
  <si>
    <t>Section 107</t>
  </si>
  <si>
    <t>Section 108</t>
  </si>
  <si>
    <t>Section 109</t>
  </si>
  <si>
    <t>Section 110</t>
  </si>
  <si>
    <t>Section 111</t>
  </si>
  <si>
    <t>Section 112</t>
  </si>
  <si>
    <t>Section 113</t>
  </si>
  <si>
    <t>Section 114</t>
  </si>
  <si>
    <t>Section 115</t>
  </si>
  <si>
    <t>Section 116</t>
  </si>
  <si>
    <t>Section 117</t>
  </si>
  <si>
    <t>Section 118</t>
  </si>
  <si>
    <t>ausserorts|-|-|-|-|sicher|fliessend|nein|nein|ja|nein|ja|hoch</t>
  </si>
  <si>
    <t>Section 119</t>
  </si>
  <si>
    <t>ausserorts|-|-|-|-|sicher|fliessend|nein|nein|nein|ja|ja|hoch</t>
  </si>
  <si>
    <t>Section 120</t>
  </si>
  <si>
    <t>Section 121</t>
  </si>
  <si>
    <t>Section 122</t>
  </si>
  <si>
    <t>Section 123</t>
  </si>
  <si>
    <t>Section 124</t>
  </si>
  <si>
    <t>Section 125</t>
  </si>
  <si>
    <t>Section 126</t>
  </si>
  <si>
    <t>Section 127</t>
  </si>
  <si>
    <t>Section 128</t>
  </si>
  <si>
    <t>Section 129</t>
  </si>
  <si>
    <t>Section 130</t>
  </si>
  <si>
    <t>Section 131</t>
  </si>
  <si>
    <t>Section 132</t>
  </si>
  <si>
    <t>Section 133</t>
  </si>
  <si>
    <t>Section 134</t>
  </si>
  <si>
    <t>Section 135</t>
  </si>
  <si>
    <t>Section 136</t>
  </si>
  <si>
    <t>Section 137</t>
  </si>
  <si>
    <t>autoroute/route express</t>
  </si>
  <si>
    <t>Autoroute</t>
  </si>
  <si>
    <t>Section 138</t>
  </si>
  <si>
    <t>&gt;2 voies dans chaque sens</t>
  </si>
  <si>
    <t>Section 139</t>
  </si>
  <si>
    <t>Section 140</t>
  </si>
  <si>
    <t>Section 141</t>
  </si>
  <si>
    <t>Section 142</t>
  </si>
  <si>
    <t>Section 143</t>
  </si>
  <si>
    <t>Section 144</t>
  </si>
  <si>
    <t>Section 145</t>
  </si>
  <si>
    <t>Section 146</t>
  </si>
  <si>
    <t>Section 147</t>
  </si>
  <si>
    <t>Section 148</t>
  </si>
  <si>
    <t>Section 149</t>
  </si>
  <si>
    <t>Section 150</t>
  </si>
  <si>
    <t>Section 151</t>
  </si>
  <si>
    <t>Section 152</t>
  </si>
  <si>
    <t>Section 153</t>
  </si>
  <si>
    <t>Section 154</t>
  </si>
  <si>
    <t>Section 155</t>
  </si>
  <si>
    <t>Section 156</t>
  </si>
  <si>
    <t>Section 157</t>
  </si>
  <si>
    <t>Section 158</t>
  </si>
  <si>
    <t>Section 159</t>
  </si>
  <si>
    <t>Section 160</t>
  </si>
  <si>
    <t>Section 161</t>
  </si>
  <si>
    <t>Section 162</t>
  </si>
  <si>
    <t>Section 163</t>
  </si>
  <si>
    <t>Section 164</t>
  </si>
  <si>
    <t>Section 165</t>
  </si>
  <si>
    <t>Section 166</t>
  </si>
  <si>
    <t>Section 167</t>
  </si>
  <si>
    <t>Section 168</t>
  </si>
  <si>
    <t>Section 169</t>
  </si>
  <si>
    <t>Section 170</t>
  </si>
  <si>
    <t>Section 171</t>
  </si>
  <si>
    <t>Section 172</t>
  </si>
  <si>
    <t>Section 173</t>
  </si>
  <si>
    <t>Section 174</t>
  </si>
  <si>
    <t>Section 175</t>
  </si>
  <si>
    <t>Section 176</t>
  </si>
  <si>
    <t>Section 177</t>
  </si>
  <si>
    <t>Section 178</t>
  </si>
  <si>
    <t>Section 179</t>
  </si>
  <si>
    <t>Section 180</t>
  </si>
  <si>
    <t>Section 181</t>
  </si>
  <si>
    <t>Section 182</t>
  </si>
  <si>
    <t>Section 183</t>
  </si>
  <si>
    <t>Section 184</t>
  </si>
  <si>
    <t>Section 185</t>
  </si>
  <si>
    <t>Section 186</t>
  </si>
  <si>
    <t>Section 187</t>
  </si>
  <si>
    <t>Section 188</t>
  </si>
  <si>
    <t>Section 189</t>
  </si>
  <si>
    <t>Section 190</t>
  </si>
  <si>
    <t>Section 191</t>
  </si>
  <si>
    <t>Section 192</t>
  </si>
  <si>
    <t>Section 193</t>
  </si>
  <si>
    <t>Section 194</t>
  </si>
  <si>
    <t>Section 195</t>
  </si>
  <si>
    <t>Section 196</t>
  </si>
  <si>
    <t>Section 197</t>
  </si>
  <si>
    <t>Section 198</t>
  </si>
  <si>
    <t>Section 199</t>
  </si>
  <si>
    <t>Section 200</t>
  </si>
  <si>
    <r>
      <t xml:space="preserve">Attestation du constructeur
</t>
    </r>
    <r>
      <rPr>
        <sz val="12"/>
        <color theme="3"/>
        <rFont val="BFU Suisse"/>
        <family val="2"/>
      </rPr>
      <t>(avec/sans indication précise)</t>
    </r>
  </si>
  <si>
    <r>
      <t xml:space="preserve">Documentation justificative
</t>
    </r>
    <r>
      <rPr>
        <sz val="12"/>
        <rFont val="BFU Suisse"/>
        <family val="2"/>
      </rPr>
      <t xml:space="preserve"> (p. ex. attestation du constructeur avec/sans indication précise, simulation, expertise technique, etc.)</t>
    </r>
  </si>
  <si>
    <t>Simulation</t>
  </si>
  <si>
    <t>technisches Gutachten xy</t>
  </si>
  <si>
    <t>sans indication précise</t>
  </si>
  <si>
    <t>Réception par type, chiff. xy, al. 1 (S. xy)</t>
  </si>
  <si>
    <t>Document xy(p. ex. preuves comparables d'autres tronçons)</t>
  </si>
  <si>
    <t>Document xy (p. ex. simulation, expertise technique)</t>
  </si>
  <si>
    <t>assortie de conditions</t>
  </si>
  <si>
    <t>Carrefour en localité</t>
  </si>
  <si>
    <t>1,98E-3</t>
  </si>
  <si>
    <t>5.3249999999999999E-2</t>
  </si>
  <si>
    <t>fluide</t>
  </si>
  <si>
    <t>acceptable</t>
  </si>
  <si>
    <t>critique</t>
  </si>
  <si>
    <t>Instable</t>
  </si>
  <si>
    <t>1,09E-3</t>
  </si>
  <si>
    <t>2,3E-5</t>
  </si>
  <si>
    <t>1,27E-5</t>
  </si>
  <si>
    <t>1,41E-3</t>
  </si>
  <si>
    <t>7.7400000000000006E-4</t>
  </si>
  <si>
    <t>1.5600000000000003E-5</t>
  </si>
  <si>
    <t>8.5699999999999993E-6</t>
  </si>
  <si>
    <t>3.7699999999999999E-3</t>
  </si>
  <si>
    <t>2.0800000000000003E-3</t>
  </si>
  <si>
    <t>2.2699999999999999E-3</t>
  </si>
  <si>
    <t>1,25E-3</t>
  </si>
  <si>
    <t>Carrefours hors localité</t>
  </si>
  <si>
    <t>5.6250000000000001E-2</t>
  </si>
  <si>
    <t>9.2800000000000001E-4</t>
  </si>
  <si>
    <t>4.8300000000000003E-4</t>
  </si>
  <si>
    <t>3.5800000000000003E-4</t>
  </si>
  <si>
    <t>8.3900000000000012E-4</t>
  </si>
  <si>
    <t>6.2200000000000005E-4</t>
  </si>
  <si>
    <t>2.8800000000000001E-4</t>
  </si>
  <si>
    <t>2.1400000000000002E-4</t>
  </si>
  <si>
    <t>3.9300000000000003E-3</t>
  </si>
  <si>
    <t>2.9199999999999999E-3</t>
  </si>
  <si>
    <t>2.2100000000000002E-3</t>
  </si>
  <si>
    <t>1,64</t>
  </si>
  <si>
    <t>Surveillance/rapportage (si souhaité en plus par l'autorité)</t>
  </si>
  <si>
    <t>Tronçon en localité</t>
  </si>
  <si>
    <t>Rue principale</t>
  </si>
  <si>
    <t>1,32E-3</t>
  </si>
  <si>
    <t>6.6000000000000003E-2</t>
  </si>
  <si>
    <t>1.5600000000000002E-3</t>
  </si>
  <si>
    <t>1.4599999999999999E-3</t>
  </si>
  <si>
    <t>8.8100000000000006E-4</t>
  </si>
  <si>
    <t>1.0400000000000001E-3</t>
  </si>
  <si>
    <t>9.7599999999999998E-4</t>
  </si>
  <si>
    <t>5.2000000000000006E-4</t>
  </si>
  <si>
    <t>6.1600000000000001E-4</t>
  </si>
  <si>
    <t>5.7600000000000001E-4</t>
  </si>
  <si>
    <t>3,48E-4</t>
  </si>
  <si>
    <t>4.1200000000000004E-4</t>
  </si>
  <si>
    <t>9,59E-4</t>
  </si>
  <si>
    <t>1,14E-3</t>
  </si>
  <si>
    <t>1.0600000000000002E-3</t>
  </si>
  <si>
    <t>6.4100000000000008E-4</t>
  </si>
  <si>
    <t>7.6000000000000004E-4</t>
  </si>
  <si>
    <t>7.1000000000000002E-4</t>
  </si>
  <si>
    <t>3,79E-4</t>
  </si>
  <si>
    <t>4.4800000000000005E-4</t>
  </si>
  <si>
    <t>4.1900000000000005E-4</t>
  </si>
  <si>
    <t>2.5299999999999997E-4</t>
  </si>
  <si>
    <t>3.0000000000000003E-4</t>
  </si>
  <si>
    <t>2.7999999999999998E-4</t>
  </si>
  <si>
    <t>Rue secondaire</t>
  </si>
  <si>
    <t>1,47E-3</t>
  </si>
  <si>
    <t>6,25E-2</t>
  </si>
  <si>
    <t>1,74E-3</t>
  </si>
  <si>
    <t>1.6299999999999999E-3</t>
  </si>
  <si>
    <t>9.8200000000000002E-4</t>
  </si>
  <si>
    <t>1,16E-3</t>
  </si>
  <si>
    <t>5.7899999999999998E-4</t>
  </si>
  <si>
    <t>6.8600000000000009E-4</t>
  </si>
  <si>
    <t>3.8700000000000003E-4</t>
  </si>
  <si>
    <t>4.5899999999999999E-4</t>
  </si>
  <si>
    <t>4.2900000000000002E-4</t>
  </si>
  <si>
    <t>1,07</t>
  </si>
  <si>
    <t>1.2700000000000001E-3</t>
  </si>
  <si>
    <t>1.1800000000000001E-3</t>
  </si>
  <si>
    <t>7.1400000000000001E-4</t>
  </si>
  <si>
    <t>8.4600000000000007E-4</t>
  </si>
  <si>
    <t>7.9100000000000004E-4</t>
  </si>
  <si>
    <t>4.2200000000000001E-4</t>
  </si>
  <si>
    <t>4.9900000000000009E-4</t>
  </si>
  <si>
    <t>4.6700000000000002E-4</t>
  </si>
  <si>
    <t>2.8200000000000002E-4</t>
  </si>
  <si>
    <t>3.3399999999999999E-4</t>
  </si>
  <si>
    <t>3.1200000000000005E-4</t>
  </si>
  <si>
    <t>9.2500000000000012E-5</t>
  </si>
  <si>
    <t>Itinéraire hors localité</t>
  </si>
  <si>
    <t>1.8100000000000002E-3</t>
  </si>
  <si>
    <t>6.8499999999999991E-2</t>
  </si>
  <si>
    <t>Dangereux</t>
  </si>
  <si>
    <t>1.3000000000000002E-3</t>
  </si>
  <si>
    <t>1,48</t>
  </si>
  <si>
    <t>9.1999999999999998E-2</t>
  </si>
  <si>
    <t>Surveillance/rapportage (autorisation conditionnelle avec conditions)</t>
  </si>
  <si>
    <t>5.8200000000000005E-8</t>
  </si>
  <si>
    <t>1.8749999999999999E-2</t>
  </si>
  <si>
    <t>&lt;=2 voies par sens de circulation</t>
  </si>
  <si>
    <t>7.3099999999999999E-8</t>
  </si>
  <si>
    <t>Rampe aux échangeurs</t>
  </si>
  <si>
    <t>1.3999999999999999E-4</t>
  </si>
  <si>
    <t>Rue</t>
  </si>
  <si>
    <t>Avec séparation physique</t>
  </si>
  <si>
    <t>3,29E-5</t>
  </si>
  <si>
    <t>Sans séparation physique</t>
  </si>
  <si>
    <t>1,16E-4</t>
  </si>
  <si>
    <t>7.6699999999999994E-6</t>
  </si>
  <si>
    <t>7.0600000000000008E-5</t>
  </si>
  <si>
    <r>
      <rPr>
        <i/>
        <sz val="9"/>
        <color theme="1"/>
        <rFont val="BFU Suisse"/>
        <family val="2"/>
      </rPr>
      <t>Concerne: infrastructure pour le pilotage manuel</t>
    </r>
    <r>
      <rPr>
        <sz val="9"/>
        <color theme="1"/>
        <rFont val="BFU Suisse"/>
        <family val="2"/>
      </rPr>
      <t xml:space="preserve">
Il est décrit quelle </t>
    </r>
    <r>
      <rPr>
        <b/>
        <sz val="9"/>
        <color theme="4"/>
        <rFont val="BFU Suisse"/>
        <family val="2"/>
      </rPr>
      <t>infrastructure</t>
    </r>
    <r>
      <rPr>
        <sz val="9"/>
        <color theme="1"/>
        <rFont val="BFU Suisse"/>
        <family val="2"/>
      </rPr>
      <t xml:space="preserve"> est nécessaire et il est confirmé que celle-ci e</t>
    </r>
    <r>
      <rPr>
        <sz val="9"/>
        <rFont val="BFU Suisse"/>
        <family val="2"/>
      </rPr>
      <t>st disponible</t>
    </r>
    <r>
      <rPr>
        <sz val="9"/>
        <color theme="1"/>
        <rFont val="BFU Suisse"/>
        <family val="2"/>
      </rPr>
      <t xml:space="preserve"> pour permettre, </t>
    </r>
    <r>
      <rPr>
        <sz val="9"/>
        <color theme="4"/>
        <rFont val="BFU Suisse"/>
        <family val="2"/>
      </rPr>
      <t>si besoin, le pilotage manuel du véhicule sans conducteur</t>
    </r>
    <r>
      <rPr>
        <sz val="9"/>
        <color theme="1"/>
        <rFont val="BFU Suisse"/>
        <family val="2"/>
      </rPr>
      <t xml:space="preserve">.
</t>
    </r>
    <r>
      <rPr>
        <i/>
        <u/>
        <sz val="9"/>
        <color theme="1"/>
        <rFont val="BFU Suisse"/>
        <family val="2"/>
      </rPr>
      <t xml:space="preserve">Indications pour l’évaluation: </t>
    </r>
    <r>
      <rPr>
        <i/>
        <sz val="9"/>
        <color theme="1"/>
        <rFont val="BFU Suisse"/>
        <family val="2"/>
      </rPr>
      <t xml:space="preserve">
Les aspects suivants, notamment, devraient être précisés:
- Comment s’assure-t-on que le personnel chargé de cette tâche 
   sera disponible rapidement en cas de besoin?
- Les rôles et les responsabilités sont-ils clairement attribués
   (compétences)?
</t>
    </r>
    <r>
      <rPr>
        <i/>
        <sz val="9"/>
        <rFont val="BFU Suisse"/>
        <family val="2"/>
      </rPr>
      <t>- Quelle infrastructure technique est nécessaire pour le pilotage
   manuel du véhicule?</t>
    </r>
    <r>
      <rPr>
        <i/>
        <sz val="9"/>
        <color theme="1"/>
        <rFont val="BFU Suisse"/>
        <family val="2"/>
      </rPr>
      <t xml:space="preserve">
- Les situations qui requièrent une intervention manuelle sont-elles
  définies?
- Le processus pour le cas où un besoin d’intervention manuelle se
   présente est-il décrit de manière claire et compréhensible?</t>
    </r>
  </si>
  <si>
    <t>Modification du tronçon (adaptation du TOD)</t>
  </si>
  <si>
    <t>3.6</t>
  </si>
  <si>
    <t>3.7</t>
  </si>
  <si>
    <t>3.7.1</t>
  </si>
  <si>
    <t>3.7.2</t>
  </si>
  <si>
    <t>3.7.3</t>
  </si>
  <si>
    <t>3.10.1</t>
  </si>
  <si>
    <t>3.10.2</t>
  </si>
  <si>
    <t>3.12</t>
  </si>
  <si>
    <t>3.13</t>
  </si>
  <si>
    <t>3.14</t>
  </si>
  <si>
    <t>3.15</t>
  </si>
  <si>
    <t>3.16</t>
  </si>
  <si>
    <t>3.17</t>
  </si>
  <si>
    <t>3.20</t>
  </si>
  <si>
    <r>
      <rPr>
        <i/>
        <sz val="9"/>
        <color theme="1"/>
        <rFont val="BFU Suisse"/>
        <family val="2"/>
      </rPr>
      <t xml:space="preserve">Concerne: accès approprié aux informations nécessaires </t>
    </r>
    <r>
      <rPr>
        <sz val="9"/>
        <color theme="1"/>
        <rFont val="BFU Suisse"/>
        <family val="2"/>
      </rPr>
      <t xml:space="preserve">
Une </t>
    </r>
    <r>
      <rPr>
        <b/>
        <sz val="9"/>
        <color theme="4"/>
        <rFont val="BFU Suisse"/>
        <family val="2"/>
      </rPr>
      <t>détection rapide des écarts, dysfonctionnements ou états critiques</t>
    </r>
    <r>
      <rPr>
        <sz val="9"/>
        <color theme="1"/>
        <rFont val="BFU Suisse"/>
        <family val="2"/>
      </rPr>
      <t xml:space="preserve"> est assurée, par exemple en évitant les parcours de clics à plusieurs niveaux, en utilisant des avertissements multimodaux (signaux visuels et sonores), etc.
</t>
    </r>
    <r>
      <rPr>
        <i/>
        <u/>
        <sz val="9"/>
        <color theme="1"/>
        <rFont val="BFU Suisse"/>
        <family val="2"/>
      </rPr>
      <t xml:space="preserve">Indications pour l’évaluation: </t>
    </r>
    <r>
      <rPr>
        <i/>
        <sz val="9"/>
        <color theme="1"/>
        <rFont val="BFU Suisse"/>
        <family val="2"/>
      </rPr>
      <t xml:space="preserve">
Des alarmes bien conçues améliorent les temps de réaction et réduisent le taux d’erreurs. Les systèmes d’alarme et d’avertissement devraient donc idéalement être conçus de façon à être hiérarchisés, clairs et perceptibles de manière adaptée à la situation, sans solliciter excessivement les opérateur·rices. Par exemple: 
- Les informations critiques sont visibles en permanence, sans
   interaction (c’est-à-dire sans menus imbriqués ou parcours de
   clics à plusieurs niveaux). 
- Priorisation des informations: les informations critiques sont mises
   en évidence visuellement ou auditivement (p. ex. couleur, son,
   position); l’essentiel est présenté avant le moins important.
- Transmission multimodale de l’information: les avertissements ne
   sont idéalement pas seulement visuels, mais aussi auditifs. 
- La signification des signaux est standardisée et connue (p. ex. 
   code de couleurs: rouge = critique, jaune = avertissement). 
- Les messages d’alarme contiennent des consignes adaptées au
   contexte ou des suggestions pour la suite des actions.
- Il existe des règles pour ignorer les alarmes en cas d’états déjà
   connus ou traités. (d’après ISO 9241-112:2025, NUREG-0700)</t>
    </r>
  </si>
  <si>
    <r>
      <rPr>
        <i/>
        <sz val="9"/>
        <color theme="1"/>
        <rFont val="BFU Suisse"/>
        <family val="2"/>
      </rPr>
      <t xml:space="preserve">Concerne: accès approprié aux informations nécessaires </t>
    </r>
    <r>
      <rPr>
        <sz val="9"/>
        <color theme="1"/>
        <rFont val="BFU Suisse"/>
        <family val="2"/>
      </rPr>
      <t xml:space="preserve">
La demande d’autorisation décrit comment il est assuré que l’opérateur·rice reçoit une</t>
    </r>
    <r>
      <rPr>
        <b/>
        <sz val="9"/>
        <color theme="4"/>
        <rFont val="BFU Suisse"/>
        <family val="2"/>
      </rPr>
      <t xml:space="preserve"> image prise par caméra de l’environnement du véhicule</t>
    </r>
    <r>
      <rPr>
        <sz val="9"/>
        <rFont val="BFU Suisse"/>
        <family val="2"/>
      </rPr>
      <t xml:space="preserve">, qui </t>
    </r>
    <r>
      <rPr>
        <sz val="9"/>
        <color theme="1"/>
        <rFont val="BFU Suisse"/>
        <family val="2"/>
      </rPr>
      <t xml:space="preserve">permet une </t>
    </r>
    <r>
      <rPr>
        <sz val="9"/>
        <color theme="4"/>
        <rFont val="BFU Suisse"/>
        <family val="2"/>
      </rPr>
      <t>évaluation fiable et complète de la situation actuelle</t>
    </r>
    <r>
      <rPr>
        <sz val="9"/>
        <color theme="1"/>
        <rFont val="BFU Suisse"/>
        <family val="2"/>
      </rPr>
      <t xml:space="preserve">, en particulier en ce qui concerne </t>
    </r>
    <r>
      <rPr>
        <sz val="9"/>
        <color theme="4"/>
        <rFont val="BFU Suisse"/>
        <family val="2"/>
      </rPr>
      <t>les dangers ou les obstacles à proximité immédiate.</t>
    </r>
    <r>
      <rPr>
        <sz val="9"/>
        <color theme="1"/>
        <rFont val="BFU Suisse"/>
        <family val="2"/>
      </rPr>
      <t xml:space="preserve"> L’affichage doit permettr</t>
    </r>
    <r>
      <rPr>
        <sz val="9"/>
        <rFont val="BFU Suisse"/>
        <family val="2"/>
      </rPr>
      <t xml:space="preserve">e de </t>
    </r>
    <r>
      <rPr>
        <sz val="9"/>
        <color theme="4"/>
        <rFont val="BFU Suisse"/>
        <family val="2"/>
      </rPr>
      <t>détecter ces derniers à temps</t>
    </r>
    <r>
      <rPr>
        <sz val="9"/>
        <color theme="1"/>
        <rFont val="BFU Suisse"/>
        <family val="2"/>
      </rPr>
      <t xml:space="preserve">, par exemple lorsque le véhicule s’arrête, oblique ou que des passager·ères en descendent.
</t>
    </r>
    <r>
      <rPr>
        <i/>
        <u/>
        <sz val="9"/>
        <color theme="1"/>
        <rFont val="BFU Suisse"/>
        <family val="2"/>
      </rPr>
      <t xml:space="preserve">Indications pour l’évaluation: </t>
    </r>
    <r>
      <rPr>
        <i/>
        <sz val="9"/>
        <color theme="1"/>
        <rFont val="BFU Suisse"/>
        <family val="2"/>
      </rPr>
      <t xml:space="preserve">
Cela inclut au minimum:
- une caméra orientée vers l’avant (dans le sens de circulation)
- une vue arrière en perspective (comparable à ce que l’on voit dans
   un rétroviseur) 
- la couverture des espaces latéraux, en particulier pour éviter les
   angles morts. Idéalement: vision panoramique à 360°. </t>
    </r>
  </si>
  <si>
    <r>
      <rPr>
        <i/>
        <sz val="9"/>
        <rFont val="BFU Suisse"/>
        <family val="2"/>
      </rPr>
      <t>Concerne: taille de la flotte</t>
    </r>
    <r>
      <rPr>
        <sz val="9"/>
        <rFont val="BFU Suisse"/>
        <family val="2"/>
      </rPr>
      <t xml:space="preserve">
La demande d’autorisation doit préciser le nombre de véhicules utilisés sur le tronçon soumis </t>
    </r>
    <r>
      <rPr>
        <sz val="9"/>
        <color theme="4"/>
        <rFont val="BFU Suisse"/>
        <family val="2"/>
      </rPr>
      <t>(</t>
    </r>
    <r>
      <rPr>
        <b/>
        <sz val="9"/>
        <color theme="4"/>
        <rFont val="BFU Suisse"/>
        <family val="2"/>
      </rPr>
      <t>taille de la flotte</t>
    </r>
    <r>
      <rPr>
        <sz val="9"/>
        <color theme="4"/>
        <rFont val="BFU Suisse"/>
        <family val="2"/>
      </rPr>
      <t>)</t>
    </r>
    <r>
      <rPr>
        <sz val="9"/>
        <rFont val="BFU Suisse"/>
        <family val="2"/>
      </rPr>
      <t xml:space="preserve">. 
Il est montré de manière compréhensible si et dans quelle mesure la taille de flotte faisant l’objet de la demande </t>
    </r>
    <r>
      <rPr>
        <b/>
        <sz val="9"/>
        <color theme="4"/>
        <rFont val="BFU Suisse"/>
        <family val="2"/>
      </rPr>
      <t>pourrait altérer la fluidité du trafic ou la sécurité routière</t>
    </r>
    <r>
      <rPr>
        <sz val="9"/>
        <rFont val="BFU Suisse"/>
        <family val="2"/>
      </rPr>
      <t>, en particulier en cas de trafic dense ou sur des parties de tronçon sensibles. Si nécessaire, les restrictions d’exploitation correspondantes sont décrites.</t>
    </r>
    <r>
      <rPr>
        <i/>
        <u/>
        <sz val="9"/>
        <rFont val="BFU Suisse"/>
        <family val="2"/>
      </rPr>
      <t xml:space="preserve">
Remarque: </t>
    </r>
    <r>
      <rPr>
        <i/>
        <sz val="9"/>
        <rFont val="BFU Suisse"/>
        <family val="2"/>
      </rPr>
      <t xml:space="preserve">
La taille de flotte prévue peut, selon les caractéristiques du tronçon, le volume de trafic et le comportement routier des véhicules, avoir un impact sur la sécurité routière et le flux de trafic. En fonction du volume de trafic et des caractéristiques d’exploitation des véhicules (p. ex. vitesse maximale), il peut être nécessaire d’assortir l’autorisation de conditions (p. ex. rapport des arrêts ou entraves non prévus) ou de restreindre l’exploitation (notamment restrictions temporelles, p. ex. pas d’exploitation aux heures de pointe). Dans ce contexte, il faut également tenir compte des prescriptions et devoirs figurant dans la législation relative aux transports (LTM/LTV).</t>
    </r>
  </si>
  <si>
    <r>
      <t xml:space="preserve">Les explications sont </t>
    </r>
    <r>
      <rPr>
        <sz val="9"/>
        <color theme="4"/>
        <rFont val="BFU Suisse"/>
        <family val="2"/>
      </rPr>
      <t>compréhensibles / convaincantes / suffisantes</t>
    </r>
    <r>
      <rPr>
        <sz val="9"/>
        <rFont val="BFU Suisse"/>
        <family val="2"/>
      </rPr>
      <t>.</t>
    </r>
  </si>
  <si>
    <r>
      <rPr>
        <i/>
        <sz val="9"/>
        <rFont val="BFU Suisse"/>
        <family val="2"/>
      </rPr>
      <t>Concerne: arrêts</t>
    </r>
    <r>
      <rPr>
        <sz val="9"/>
        <rFont val="BFU Suisse"/>
        <family val="2"/>
      </rPr>
      <t xml:space="preserve">
La demande d’autorisation décrit comment </t>
    </r>
    <r>
      <rPr>
        <b/>
        <sz val="9"/>
        <color theme="4"/>
        <rFont val="BFU Suisse"/>
        <family val="2"/>
      </rPr>
      <t>éviter un recul de la sécurité routière et les entraves au trafic lors des arrêts</t>
    </r>
    <r>
      <rPr>
        <sz val="9"/>
        <rFont val="BFU Suisse"/>
        <family val="2"/>
      </rPr>
      <t xml:space="preserve">.
</t>
    </r>
    <r>
      <rPr>
        <i/>
        <u/>
        <sz val="9"/>
        <rFont val="BFU Suisse"/>
        <family val="2"/>
      </rPr>
      <t xml:space="preserve">Remarque: 
</t>
    </r>
    <r>
      <rPr>
        <i/>
        <sz val="9"/>
        <rFont val="BFU Suisse"/>
        <family val="2"/>
      </rPr>
      <t xml:space="preserve">Selon le lieu où le véhicule sans conducteur s’arrête, le flux de trafic peut être entravé. Il s’agit, le cas échéant, d’en tenir compte à l’étape 3 «Capacité à assumer la conduite». </t>
    </r>
  </si>
  <si>
    <r>
      <rPr>
        <i/>
        <sz val="9"/>
        <rFont val="BFU Suisse"/>
        <family val="2"/>
      </rPr>
      <t xml:space="preserve">Concerne: infrastructures cyclables
</t>
    </r>
    <r>
      <rPr>
        <sz val="9"/>
        <rFont val="BFU Suisse"/>
        <family val="2"/>
      </rPr>
      <t xml:space="preserve"> 
Il est démontré que le véhicule </t>
    </r>
    <r>
      <rPr>
        <sz val="9"/>
        <color theme="4"/>
        <rFont val="BFU Suisse"/>
        <family val="2"/>
      </rPr>
      <t>reconnaît de manière fiable</t>
    </r>
    <r>
      <rPr>
        <sz val="9"/>
        <rFont val="BFU Suisse"/>
        <family val="2"/>
      </rPr>
      <t xml:space="preserve"> les </t>
    </r>
    <r>
      <rPr>
        <b/>
        <sz val="9"/>
        <color theme="4"/>
        <rFont val="BFU Suisse"/>
        <family val="2"/>
      </rPr>
      <t>marquages spécifiques conformes aux aménagements de surfaces routières colorées</t>
    </r>
    <r>
      <rPr>
        <sz val="9"/>
        <rFont val="BFU Suisse"/>
        <family val="2"/>
      </rPr>
      <t>, tels que les sas pour cyclistes aux feux de signalisation, se positionne correctement et accorde la priorité aux cyclistes lors du redémarrage.</t>
    </r>
  </si>
  <si>
    <t>Étape 2: évaluation de l’adéquation du tronçon</t>
  </si>
  <si>
    <t>Localisation</t>
  </si>
  <si>
    <r>
      <t xml:space="preserve">TJM
</t>
    </r>
    <r>
      <rPr>
        <sz val="12"/>
        <color theme="4" tint="-0.499984740745262"/>
        <rFont val="BFU Suisse"/>
        <family val="2"/>
      </rPr>
      <t xml:space="preserve"> </t>
    </r>
    <r>
      <rPr>
        <i/>
        <sz val="12"/>
        <color theme="4" tint="-0.499984740745262"/>
        <rFont val="BFU Suisse"/>
        <family val="2"/>
      </rPr>
      <t>Valeur réelle 
pour la section</t>
    </r>
  </si>
  <si>
    <r>
      <t xml:space="preserve">Sécurité routière
</t>
    </r>
    <r>
      <rPr>
        <sz val="12"/>
        <rFont val="BFU Suisse"/>
        <family val="2"/>
      </rPr>
      <t xml:space="preserve"> (évaluation de l’accidentalité)</t>
    </r>
  </si>
  <si>
    <r>
      <t xml:space="preserve">Flux de trafic
</t>
    </r>
    <r>
      <rPr>
        <sz val="12"/>
        <rFont val="BFU Suisse"/>
        <family val="2"/>
      </rPr>
      <t xml:space="preserve"> (évaluation du TJM)</t>
    </r>
  </si>
  <si>
    <r>
      <t xml:space="preserve">Endroits à concentration d’accidents </t>
    </r>
    <r>
      <rPr>
        <sz val="12"/>
        <rFont val="BFU Suisse"/>
        <family val="2"/>
      </rPr>
      <t>(oui/non)</t>
    </r>
    <r>
      <rPr>
        <b/>
        <sz val="12"/>
        <rFont val="BFU Suisse"/>
        <family val="2"/>
      </rPr>
      <t xml:space="preserve">
</t>
    </r>
    <r>
      <rPr>
        <i/>
        <sz val="12"/>
        <rFont val="BFU Suisse"/>
        <family val="2"/>
      </rPr>
      <t>selon la liste</t>
    </r>
  </si>
  <si>
    <t xml:space="preserve">
Évaluation 
des endroits particulièrement complexes</t>
  </si>
  <si>
    <t>Tronçons en section courante</t>
  </si>
  <si>
    <r>
      <rPr>
        <b/>
        <sz val="26"/>
        <color theme="0"/>
        <rFont val="BFU Suisse"/>
        <family val="2"/>
      </rPr>
      <t>Résumé pour l’évaluation de la capacité à assumer la conduite</t>
    </r>
    <r>
      <rPr>
        <sz val="14"/>
        <color theme="0"/>
        <rFont val="BFU Suisse"/>
        <family val="2"/>
      </rPr>
      <t xml:space="preserve"> (automatisé)</t>
    </r>
  </si>
  <si>
    <r>
      <t xml:space="preserve">Adaptation du </t>
    </r>
    <r>
      <rPr>
        <b/>
        <sz val="12"/>
        <rFont val="BFU Suisse"/>
        <family val="2"/>
      </rPr>
      <t>TOD</t>
    </r>
    <r>
      <rPr>
        <b/>
        <sz val="12"/>
        <color theme="3"/>
        <rFont val="BFU Suisse"/>
        <family val="2"/>
      </rPr>
      <t xml:space="preserve">
possible/souhaitée
</t>
    </r>
    <r>
      <rPr>
        <sz val="12"/>
        <color theme="3"/>
        <rFont val="BFU Suisse"/>
        <family val="2"/>
      </rPr>
      <t>(oui/non)</t>
    </r>
  </si>
  <si>
    <r>
      <t xml:space="preserve">Vérification des tronçons critiques et des endroits particulièrement complexes 
</t>
    </r>
    <r>
      <rPr>
        <sz val="14"/>
        <color theme="0"/>
        <rFont val="BFU Suisse"/>
        <family val="2"/>
      </rPr>
      <t xml:space="preserve"> (uniquement sections présentant un degré élevé de criticité; il appartient à l’autorité de vérifier ou non d’autres tronçons à degré de criticité moyen ou faible)</t>
    </r>
  </si>
  <si>
    <r>
      <rPr>
        <i/>
        <sz val="9"/>
        <color theme="1"/>
        <rFont val="BFU Suisse"/>
        <family val="2"/>
      </rPr>
      <t xml:space="preserve">Concerne: temps de travail </t>
    </r>
    <r>
      <rPr>
        <sz val="9"/>
        <color theme="1"/>
        <rFont val="BFU Suisse"/>
        <family val="2"/>
      </rPr>
      <t xml:space="preserve">
La demande d’autorisation précise comment le </t>
    </r>
    <r>
      <rPr>
        <b/>
        <sz val="9"/>
        <color theme="4"/>
        <rFont val="BFU Suisse"/>
        <family val="2"/>
      </rPr>
      <t>temps de travail</t>
    </r>
    <r>
      <rPr>
        <sz val="9"/>
        <color theme="1"/>
        <rFont val="BFU Suisse"/>
        <family val="2"/>
      </rPr>
      <t xml:space="preserve"> des opérateur·rices est aménagé de manière à </t>
    </r>
    <r>
      <rPr>
        <sz val="9"/>
        <color theme="4"/>
        <rFont val="BFU Suisse"/>
        <family val="2"/>
      </rPr>
      <t>garantir l’accomplissement fiable des tâches pendant toute la durée de l’intervention</t>
    </r>
    <r>
      <rPr>
        <sz val="9"/>
        <rFont val="BFU Suisse"/>
        <family val="2"/>
      </rPr>
      <t>.</t>
    </r>
    <r>
      <rPr>
        <sz val="9"/>
        <color theme="1"/>
        <rFont val="BFU Suisse"/>
        <family val="2"/>
      </rPr>
      <t xml:space="preserve"> 
</t>
    </r>
    <r>
      <rPr>
        <i/>
        <u/>
        <sz val="9"/>
        <color theme="1"/>
        <rFont val="BFU Suisse"/>
        <family val="2"/>
      </rPr>
      <t xml:space="preserve">Indications pour l’évaluation: </t>
    </r>
    <r>
      <rPr>
        <i/>
        <sz val="9"/>
        <color theme="1"/>
        <rFont val="BFU Suisse"/>
        <family val="2"/>
      </rPr>
      <t xml:space="preserve">
- Les activités de surveillance sont considérées comme exigeantes sur le plan cognitif et entraînent une fatigue relativement rapide. Donc: 
- La durée du travail devrait être adaptée à l’intensité de la charge de travail.
- Le travail devrait être limité à une durée où aucun effet de fatigue ne se manifeste encore.
- </t>
    </r>
    <r>
      <rPr>
        <i/>
        <sz val="9"/>
        <rFont val="BFU Suisse"/>
        <family val="2"/>
      </rPr>
      <t>En raison de la fatigue, l’allongement du temps de travail n’est pas proportionnel à l’augmentation du travail fourni.</t>
    </r>
    <r>
      <rPr>
        <i/>
        <sz val="9"/>
        <color theme="1"/>
        <rFont val="BFU Suisse"/>
        <family val="2"/>
      </rPr>
      <t xml:space="preserve">
- Aux endroits critiques pour la sécurité, la durée totale d’engagement par jour (pauses comprises) est souvent limitée à 8 heures, avec la possibilité d’ajouter 2 heures à condition que les pauses soient suffisantes. 
(d’après ISO 10075-2)</t>
    </r>
  </si>
  <si>
    <r>
      <t xml:space="preserve">Il est décrit comment le ou la détenteur·rice du véhicule veille à ce qu’un </t>
    </r>
    <r>
      <rPr>
        <b/>
        <sz val="9"/>
        <color theme="4"/>
        <rFont val="BFU Suisse"/>
        <family val="2"/>
      </rPr>
      <t>contrôle avant le départ</t>
    </r>
    <r>
      <rPr>
        <sz val="9"/>
        <color theme="1"/>
        <rFont val="BFU Suisse"/>
        <family val="2"/>
      </rPr>
      <t xml:space="preserve"> soit</t>
    </r>
    <r>
      <rPr>
        <sz val="9"/>
        <color theme="4"/>
        <rFont val="BFU Suisse"/>
        <family val="2"/>
      </rPr>
      <t xml:space="preserve"> réalisé avant l’utilisation quotidienne du véhicule</t>
    </r>
    <r>
      <rPr>
        <sz val="9"/>
        <color theme="1"/>
        <rFont val="BFU Suisse"/>
        <family val="2"/>
      </rPr>
      <t xml:space="preserve">.
</t>
    </r>
    <r>
      <rPr>
        <i/>
        <u/>
        <sz val="9"/>
        <color theme="1"/>
        <rFont val="BFU Suisse"/>
        <family val="2"/>
      </rPr>
      <t>Indications pour l’évaluation:</t>
    </r>
    <r>
      <rPr>
        <i/>
        <sz val="9"/>
        <color theme="1"/>
        <rFont val="BFU Suisse"/>
        <family val="2"/>
      </rPr>
      <t xml:space="preserve">
Il est au minimum précisé qui effectue le contrôle de départ et à quel moment, ou comment l’opérateur·rice peut systématiquement vérifier que le contrôle avant le départ a bien eu lieu. Conformément à l’art. 34, al. 2, let. b, OCAut, les opérateur·rices sont responsables de s’assurer, avant la mise en marche du véhicule sans conducteur, que le contrôle avant le départ a été effectué. </t>
    </r>
  </si>
  <si>
    <r>
      <rPr>
        <b/>
        <sz val="9"/>
        <color theme="4" tint="-0.249977111117893"/>
        <rFont val="BFU Suisse"/>
        <family val="2"/>
      </rPr>
      <t xml:space="preserve">Partie concernée: 
</t>
    </r>
    <r>
      <rPr>
        <sz val="9"/>
        <color theme="1"/>
        <rFont val="BFU Suisse"/>
        <family val="2"/>
      </rPr>
      <t>Constructeur</t>
    </r>
    <r>
      <rPr>
        <sz val="9"/>
        <color theme="4" tint="-0.249977111117893"/>
        <rFont val="BFU Suisse"/>
        <family val="2"/>
      </rPr>
      <t xml:space="preserve">
</t>
    </r>
    <r>
      <rPr>
        <b/>
        <sz val="9"/>
        <color theme="4" tint="-0.249977111117893"/>
        <rFont val="BFU Suisse"/>
        <family val="2"/>
      </rPr>
      <t xml:space="preserve">
Information concernée: 
</t>
    </r>
    <r>
      <rPr>
        <sz val="9"/>
        <color theme="1"/>
        <rFont val="BFU Suisse"/>
        <family val="2"/>
      </rPr>
      <t xml:space="preserve">Déclaration de consentement concernant la </t>
    </r>
    <r>
      <rPr>
        <i/>
        <sz val="9"/>
        <color theme="4" tint="-0.249977111117893"/>
        <rFont val="BFU Suisse"/>
        <family val="2"/>
      </rPr>
      <t xml:space="preserve">transmission à l’OFROU, dans les délais et </t>
    </r>
    <r>
      <rPr>
        <i/>
        <sz val="9"/>
        <color theme="4"/>
        <rFont val="BFU Suisse"/>
        <family val="2"/>
      </rPr>
      <t>à titre gracieux, des documents et informations nécessaires à la surveillance du marché et d’autres spécifications techniques pour</t>
    </r>
    <r>
      <rPr>
        <i/>
        <sz val="9"/>
        <color theme="4" tint="-0.249977111117893"/>
        <rFont val="BFU Suisse"/>
        <family val="2"/>
      </rPr>
      <t xml:space="preserve"> les vérifications de la conformité</t>
    </r>
  </si>
  <si>
    <r>
      <rPr>
        <b/>
        <sz val="9"/>
        <color theme="4" tint="-0.249977111117893"/>
        <rFont val="BFU Suisse"/>
        <family val="2"/>
      </rPr>
      <t xml:space="preserve">Partie concernée: 
</t>
    </r>
    <r>
      <rPr>
        <sz val="9"/>
        <color theme="1"/>
        <rFont val="BFU Suisse"/>
        <family val="2"/>
      </rPr>
      <t>Constructeur</t>
    </r>
    <r>
      <rPr>
        <b/>
        <sz val="9"/>
        <color theme="4" tint="-0.249977111117893"/>
        <rFont val="BFU Suisse"/>
        <family val="2"/>
      </rPr>
      <t xml:space="preserve">
Information concernée: 
</t>
    </r>
    <r>
      <rPr>
        <sz val="9"/>
        <color theme="1"/>
        <rFont val="BFU Suisse"/>
        <family val="2"/>
      </rPr>
      <t xml:space="preserve">Déclaration de consentement concernant la </t>
    </r>
    <r>
      <rPr>
        <i/>
        <sz val="9"/>
        <color theme="4"/>
        <rFont val="BFU Suisse"/>
        <family val="2"/>
      </rPr>
      <t>transmission à l’OFROU, dans les délais, des informations</t>
    </r>
    <r>
      <rPr>
        <i/>
        <sz val="9"/>
        <color theme="4" tint="-0.249977111117893"/>
        <rFont val="BFU Suisse"/>
        <family val="2"/>
      </rPr>
      <t xml:space="preserve"> donnant accès au logiciel, aux données d’entraînement pertinentes et aux définitions des scénarios d’essai faisant l’objet des vérifications de la conformité </t>
    </r>
  </si>
  <si>
    <r>
      <rPr>
        <b/>
        <sz val="9"/>
        <color theme="4" tint="-0.249977111117893"/>
        <rFont val="BFU Suisse"/>
        <family val="2"/>
      </rPr>
      <t xml:space="preserve">Partie concernée: </t>
    </r>
    <r>
      <rPr>
        <sz val="9"/>
        <color theme="1"/>
        <rFont val="BFU Suisse"/>
        <family val="2"/>
      </rPr>
      <t xml:space="preserve">
Constructeur ou importateur </t>
    </r>
    <r>
      <rPr>
        <sz val="9"/>
        <color theme="1" tint="0.499984740745262"/>
        <rFont val="BFU Suisse"/>
        <family val="2"/>
      </rPr>
      <t>de véhicules sans conducteur et de véhicules équipés d’un système d’automatisation</t>
    </r>
    <r>
      <rPr>
        <sz val="9"/>
        <color theme="1"/>
        <rFont val="BFU Suisse"/>
        <family val="2"/>
      </rPr>
      <t xml:space="preserve">
</t>
    </r>
    <r>
      <rPr>
        <sz val="9"/>
        <color theme="4" tint="-0.249977111117893"/>
        <rFont val="BFU Suisse"/>
        <family val="2"/>
      </rPr>
      <t xml:space="preserve"> </t>
    </r>
    <r>
      <rPr>
        <b/>
        <sz val="9"/>
        <color theme="4" tint="-0.249977111117893"/>
        <rFont val="BFU Suisse"/>
        <family val="2"/>
      </rPr>
      <t xml:space="preserve">
Information concernée: </t>
    </r>
    <r>
      <rPr>
        <sz val="9"/>
        <color theme="1"/>
        <rFont val="BFU Suisse"/>
        <family val="2"/>
      </rPr>
      <t xml:space="preserve">
Déclaration de consentement concernant la </t>
    </r>
    <r>
      <rPr>
        <i/>
        <sz val="9"/>
        <color theme="4"/>
        <rFont val="BFU Suisse"/>
        <family val="2"/>
      </rPr>
      <t xml:space="preserve">transmission à l’OFROU, dans les délais, des informations concernant l’obligation de notifier immédiatement les incidents critiques pour la sécurité et les autres incidents pertinents pour la sécurité dans les délais, conformément à l’annexe III, partie 5, du règlement d’exécution (UE) 2022/1426 (p. L 221/59) </t>
    </r>
  </si>
  <si>
    <r>
      <rPr>
        <b/>
        <sz val="9"/>
        <color theme="4" tint="-0.249977111117893"/>
        <rFont val="BFU Suisse"/>
        <family val="2"/>
      </rPr>
      <t xml:space="preserve">Partie concernée: 
</t>
    </r>
    <r>
      <rPr>
        <sz val="9"/>
        <rFont val="BFU Suisse"/>
        <family val="2"/>
      </rPr>
      <t>Détenteur·rice du véhicule</t>
    </r>
    <r>
      <rPr>
        <sz val="9"/>
        <color theme="4" tint="-0.249977111117893"/>
        <rFont val="BFU Suisse"/>
        <family val="2"/>
      </rPr>
      <t xml:space="preserve">
</t>
    </r>
    <r>
      <rPr>
        <b/>
        <sz val="9"/>
        <color theme="4" tint="-0.249977111117893"/>
        <rFont val="BFU Suisse"/>
        <family val="2"/>
      </rPr>
      <t xml:space="preserve">Information concernée: </t>
    </r>
    <r>
      <rPr>
        <sz val="9"/>
        <rFont val="BFU Suisse"/>
        <family val="2"/>
      </rPr>
      <t xml:space="preserve">
Déclaration de consentement concernant la </t>
    </r>
    <r>
      <rPr>
        <i/>
        <sz val="9"/>
        <color theme="4" tint="-0.249977111117893"/>
        <rFont val="BFU Suisse"/>
        <family val="2"/>
      </rPr>
      <t>transmission à l’OFROU, dans les délais, des informations nécessaires à l’évaluation de la sécurité routière et de la sécurité de fonctionnement après l’immatriculation</t>
    </r>
  </si>
  <si>
    <r>
      <rPr>
        <i/>
        <sz val="9"/>
        <color theme="1"/>
        <rFont val="BFU Suisse"/>
        <family val="2"/>
      </rPr>
      <t xml:space="preserve">Concerne: éviter les nuisances sonores
</t>
    </r>
    <r>
      <rPr>
        <sz val="9"/>
        <color theme="1"/>
        <rFont val="BFU Suisse"/>
        <family val="2"/>
      </rPr>
      <t xml:space="preserve">La demande d’autorisation décrit comment le ou la détenteur·rice du véhicule </t>
    </r>
    <r>
      <rPr>
        <sz val="9"/>
        <color theme="4"/>
        <rFont val="BFU Suisse"/>
        <family val="2"/>
      </rPr>
      <t>garantit (sur le plan organisationnel)</t>
    </r>
    <r>
      <rPr>
        <sz val="9"/>
        <color theme="1"/>
        <rFont val="BFU Suisse"/>
        <family val="2"/>
      </rPr>
      <t xml:space="preserve"> que
le </t>
    </r>
    <r>
      <rPr>
        <b/>
        <sz val="9"/>
        <color theme="4"/>
        <rFont val="BFU Suisse"/>
        <family val="2"/>
      </rPr>
      <t>véhicule</t>
    </r>
    <r>
      <rPr>
        <sz val="9"/>
        <color theme="1"/>
        <rFont val="BFU Suisse"/>
        <family val="2"/>
      </rPr>
      <t xml:space="preserve"> ne </t>
    </r>
    <r>
      <rPr>
        <sz val="9"/>
        <color theme="4"/>
        <rFont val="BFU Suisse"/>
        <family val="2"/>
      </rPr>
      <t>provoque pas de bruit pouvant être évité</t>
    </r>
    <r>
      <rPr>
        <sz val="9"/>
        <color theme="1"/>
        <rFont val="BFU Suisse"/>
        <family val="2"/>
      </rPr>
      <t>, en particulier: 
- faire chauffer et tourner inutilement le moteur d’un véhicule à l’arrêt; 
- faire tourner à vide le moteur à un régime élevé ou circuler à un régime élevé en petite vitesse;
- accélérer trop rapidement, notamment au démarrage;
- effectuer dans une localité des va-et-vient ou des circuits inutiles;
- générer un bruit évitable avec le dispositif d’échappement, notamment produire des pétarades en changeant de vitesse ou en décélérant brusquement;
les</t>
    </r>
    <r>
      <rPr>
        <b/>
        <sz val="9"/>
        <color theme="4"/>
        <rFont val="BFU Suisse"/>
        <family val="2"/>
      </rPr>
      <t xml:space="preserve"> occupant·es des véhicules ou les auxiliaires</t>
    </r>
    <r>
      <rPr>
        <sz val="9"/>
        <color theme="1"/>
        <rFont val="BFU Suisse"/>
        <family val="2"/>
      </rPr>
      <t xml:space="preserve"> ne </t>
    </r>
    <r>
      <rPr>
        <sz val="9"/>
        <color theme="4"/>
        <rFont val="BFU Suisse"/>
        <family val="2"/>
      </rPr>
      <t xml:space="preserve">produisent pas de bruit évitable, </t>
    </r>
    <r>
      <rPr>
        <sz val="9"/>
        <color theme="1"/>
        <rFont val="BFU Suisse"/>
        <family val="2"/>
      </rPr>
      <t>en particulier:
- charger ou décharger sans précautions des véhicules;
- claquer les portières, le capot du moteur, le couvercle du coffre, etc.;
- incommoder le voisinage en faisant fonctionner des appareils restituant le son installés ou transportés dans le véhicule.</t>
    </r>
  </si>
  <si>
    <r>
      <rPr>
        <i/>
        <sz val="9"/>
        <color theme="1"/>
        <rFont val="BFU Suisse"/>
        <family val="2"/>
      </rPr>
      <t>Concerne: port de la ceinture de sécurité 
La demande décrit comment le·la détenteur·rice du véhicule garantit (sur le plan organisationnel) que</t>
    </r>
    <r>
      <rPr>
        <sz val="9"/>
        <color theme="1"/>
        <rFont val="BFU Suisse"/>
        <family val="2"/>
      </rPr>
      <t xml:space="preserve">
</t>
    </r>
    <r>
      <rPr>
        <b/>
        <sz val="9"/>
        <color theme="1"/>
        <rFont val="BFU Suisse"/>
        <family val="2"/>
      </rPr>
      <t>-</t>
    </r>
    <r>
      <rPr>
        <sz val="9"/>
        <color theme="1"/>
        <rFont val="BFU Suisse"/>
        <family val="2"/>
      </rPr>
      <t xml:space="preserve"> les occupant·es des véhicules portent la </t>
    </r>
    <r>
      <rPr>
        <b/>
        <sz val="9"/>
        <color theme="4"/>
        <rFont val="BFU Suisse"/>
        <family val="2"/>
      </rPr>
      <t>ceinture de sécurité</t>
    </r>
    <r>
      <rPr>
        <sz val="9"/>
        <color theme="1"/>
        <rFont val="BFU Suisse"/>
        <family val="2"/>
      </rPr>
      <t xml:space="preserve"> disponible pendant le trajet
- les occupant·es des véhicules </t>
    </r>
    <r>
      <rPr>
        <b/>
        <sz val="9"/>
        <color theme="4"/>
        <rFont val="BFU Suisse"/>
        <family val="2"/>
      </rPr>
      <t>attachent correctement les enfants de moins de douze ans</t>
    </r>
    <r>
      <rPr>
        <sz val="9"/>
        <color theme="1"/>
        <rFont val="BFU Suisse"/>
        <family val="2"/>
      </rPr>
      <t xml:space="preserve">
- sur les sièges équipés de ceintures de sécurité pour enfants de moins de douze ans, un </t>
    </r>
    <r>
      <rPr>
        <b/>
        <sz val="9"/>
        <color theme="4"/>
        <rFont val="BFU Suisse"/>
        <family val="2"/>
      </rPr>
      <t>dispositif de retenue pour enfants</t>
    </r>
    <r>
      <rPr>
        <sz val="9"/>
        <color theme="1"/>
        <rFont val="BFU Suisse"/>
        <family val="2"/>
      </rPr>
      <t xml:space="preserve"> approprié est utilisé (p. ex. un siège-auto) 
Remarque: aucun dispositif de retenue n’est nécessaire pour les enfants: 
- mesurant au moins 150 cm;
- de quatre ans et plus lorsqu’ils sont assis sur des sièges spécialement admis pour les enfants;
- de quatre ans et plus lorsqu’ils sont assis dans de grands véhicules (p. ex. autocars);
- de sept ans et plus lorsqu’ils sont assis sur des sièges équipés de ceintures abdominales.
</t>
    </r>
    <r>
      <rPr>
        <i/>
        <u/>
        <sz val="9"/>
        <color theme="1"/>
        <rFont val="BFU Suisse"/>
        <family val="2"/>
      </rPr>
      <t xml:space="preserve">Indications pour l’évaluation: </t>
    </r>
    <r>
      <rPr>
        <i/>
        <sz val="9"/>
        <color theme="1"/>
        <rFont val="BFU Suisse"/>
        <family val="2"/>
      </rPr>
      <t xml:space="preserve">
En l’absence de dispositifs de retenue pour enfants, il convient de décrire comment il est évité que des enfants circulent non attaché·es dans le véhicule. </t>
    </r>
  </si>
  <si>
    <r>
      <rPr>
        <i/>
        <sz val="9"/>
        <color theme="1"/>
        <rFont val="BFU Suisse"/>
        <family val="2"/>
      </rPr>
      <t>Concerne: immobilisation du véhicule</t>
    </r>
    <r>
      <rPr>
        <sz val="9"/>
        <color theme="1"/>
        <rFont val="BFU Suisse"/>
        <family val="2"/>
      </rPr>
      <t xml:space="preserve">
La demande décrit comment le·la détenteur·rice du véhicule garantit (sur le plan organisationnel) que</t>
    </r>
    <r>
      <rPr>
        <b/>
        <sz val="9"/>
        <color theme="1"/>
        <rFont val="BFU Suisse"/>
        <family val="2"/>
      </rPr>
      <t xml:space="preserve">
- </t>
    </r>
    <r>
      <rPr>
        <sz val="9"/>
        <color theme="1"/>
        <rFont val="BFU Suisse"/>
        <family val="2"/>
      </rPr>
      <t xml:space="preserve">sur les déclivités, le </t>
    </r>
    <r>
      <rPr>
        <b/>
        <sz val="9"/>
        <color theme="4"/>
        <rFont val="BFU Suisse"/>
        <family val="2"/>
      </rPr>
      <t>frein est serré</t>
    </r>
    <r>
      <rPr>
        <sz val="9"/>
        <color theme="1"/>
        <rFont val="BFU Suisse"/>
        <family val="2"/>
      </rPr>
      <t xml:space="preserve"> et une autre mesure efficace propre à maintenir le véhicule à l’arrêt est prise, comme l’enclenchement du rapport le plus bas de la boîte de vitesses ou l’orientation des roues contre un obstacle situé au bord de la chaussée;
- sur de fortes déclivités, les </t>
    </r>
    <r>
      <rPr>
        <b/>
        <sz val="9"/>
        <color theme="4"/>
        <rFont val="BFU Suisse"/>
        <family val="2"/>
      </rPr>
      <t>véhicules sont maintenus immobiles au moyen de cales d’arrêt ou d’un autre objet pouvant y suppléer</t>
    </r>
    <r>
      <rPr>
        <sz val="9"/>
        <rFont val="BFU Suisse"/>
        <family val="2"/>
      </rPr>
      <t xml:space="preserve">. </t>
    </r>
    <r>
      <rPr>
        <sz val="9"/>
        <color theme="1"/>
        <rFont val="BFU Suisse"/>
        <family val="2"/>
      </rPr>
      <t>Pour les voitures automobiles lourdes, les trains routiers et les remorques dételées, des cales doivent être placées sous les roues même sur de faibles déclivités. Les objets utilisés comme cales d’arrêt doivent être retirés de la route avant le départ.</t>
    </r>
  </si>
  <si>
    <t>Art. 38, al. 4, OCAut
Art. 22, al. 2 et 3, OCR
Art. 37, al. 3, LCR</t>
  </si>
  <si>
    <r>
      <rPr>
        <i/>
        <sz val="9"/>
        <color theme="1"/>
        <rFont val="BFU Suisse"/>
        <family val="2"/>
      </rPr>
      <t xml:space="preserve">Concerne: passager·ères
</t>
    </r>
    <r>
      <rPr>
        <sz val="9"/>
        <color theme="1"/>
        <rFont val="BFU Suisse"/>
        <family val="2"/>
      </rPr>
      <t xml:space="preserve"> 
La demande décrit comment le·la détenteur·rice du véhicule garantit (sur le plan organisationnel) que 
- le nombre de personnes transportées dans (et sur) le véhicule sans conducteur (et ses remorques) n’excède pas celui des places autorisées; 
- pendant le trajet, les places autorisées sont utilisées (dans les autocars, il est permis de quitter brièvement son siège) </t>
    </r>
  </si>
  <si>
    <r>
      <rPr>
        <i/>
        <sz val="9"/>
        <rFont val="BFU Suisse"/>
        <family val="2"/>
      </rPr>
      <t>Concerne: confirmation de l’adéquation du tronçon</t>
    </r>
    <r>
      <rPr>
        <sz val="9"/>
        <rFont val="BFU Suisse"/>
        <family val="2"/>
      </rPr>
      <t xml:space="preserve">
La demande </t>
    </r>
    <r>
      <rPr>
        <sz val="9"/>
        <color theme="4"/>
        <rFont val="BFU Suisse"/>
        <family val="2"/>
      </rPr>
      <t>confirme</t>
    </r>
    <r>
      <rPr>
        <sz val="9"/>
        <rFont val="BFU Suisse"/>
        <family val="2"/>
      </rPr>
      <t xml:space="preserve"> que </t>
    </r>
    <r>
      <rPr>
        <sz val="9"/>
        <color theme="4"/>
        <rFont val="BFU Suisse"/>
        <family val="2"/>
      </rPr>
      <t xml:space="preserve">le tronçon faisant l’objet de la demande ne comporte ni n’enfreint </t>
    </r>
    <r>
      <rPr>
        <b/>
        <sz val="9"/>
        <color theme="4"/>
        <rFont val="BFU Suisse"/>
        <family val="2"/>
      </rPr>
      <t>aucune des limites décrites en matière d’ODD</t>
    </r>
    <r>
      <rPr>
        <sz val="9"/>
        <rFont val="BFU Suisse"/>
        <family val="2"/>
      </rPr>
      <t xml:space="preserve">.
</t>
    </r>
    <r>
      <rPr>
        <i/>
        <u/>
        <sz val="9"/>
        <rFont val="BFU Suisse"/>
        <family val="2"/>
      </rPr>
      <t>Indication pour l’évaluation:</t>
    </r>
    <r>
      <rPr>
        <i/>
        <sz val="9"/>
        <rFont val="BFU Suisse"/>
        <family val="2"/>
      </rPr>
      <t xml:space="preserve">
Le résultat de l’évaluation peut être «oui» si le ou la requérant·e confirme explicitement que le tronçon faisant l’objet de la demande ne comporte</t>
    </r>
    <r>
      <rPr>
        <sz val="9"/>
        <rFont val="BFU Suisse"/>
        <family val="2"/>
      </rPr>
      <t xml:space="preserve"> </t>
    </r>
    <r>
      <rPr>
        <i/>
        <u/>
        <sz val="9"/>
        <rFont val="BFU Suisse"/>
        <family val="2"/>
      </rPr>
      <t>aucune</t>
    </r>
    <r>
      <rPr>
        <i/>
        <sz val="9"/>
        <rFont val="BFU Suisse"/>
        <family val="2"/>
      </rPr>
      <t xml:space="preserve"> limite relative aux ODD selon la norme ISO 34503. Si le résultat est «oui», cette tâche incombe au constructeur (point 6.2.3). L’évaluation des points suivants 6.2.1 et 6.2.2 n’est pas nécessaire.</t>
    </r>
    <r>
      <rPr>
        <sz val="9"/>
        <rFont val="BFU Suisse"/>
        <family val="2"/>
      </rPr>
      <t xml:space="preserve"> 
</t>
    </r>
    <r>
      <rPr>
        <i/>
        <sz val="9"/>
        <rFont val="BFU Suisse"/>
        <family val="2"/>
      </rPr>
      <t>Le résultat de l’évaluation est «non» si le tronçon faisant l’objet de la demande contient ou enfreint une ou plusieurs des limites décrites ci-dessus.</t>
    </r>
    <r>
      <rPr>
        <sz val="9"/>
        <rFont val="BFU Suisse"/>
        <family val="2"/>
      </rPr>
      <t xml:space="preserve"> </t>
    </r>
    <r>
      <rPr>
        <i/>
        <sz val="9"/>
        <rFont val="BFU Suisse"/>
        <family val="2"/>
      </rPr>
      <t xml:space="preserve">Si le résultat est «non», les deux points suivants doivent être évalués. </t>
    </r>
  </si>
  <si>
    <r>
      <rPr>
        <i/>
        <sz val="9"/>
        <color theme="1"/>
        <rFont val="BFU Suisse"/>
        <family val="2"/>
      </rPr>
      <t>Concerne: indication des sections du</t>
    </r>
    <r>
      <rPr>
        <i/>
        <sz val="9"/>
        <rFont val="BFU Suisse"/>
        <family val="2"/>
      </rPr>
      <t xml:space="preserve"> tronçon</t>
    </r>
    <r>
      <rPr>
        <i/>
        <sz val="9"/>
        <color theme="1"/>
        <rFont val="BFU Suisse"/>
        <family val="2"/>
      </rPr>
      <t xml:space="preserve"> concernées</t>
    </r>
    <r>
      <rPr>
        <sz val="9"/>
        <color theme="1"/>
        <rFont val="BFU Suisse"/>
        <family val="2"/>
      </rPr>
      <t xml:space="preserve">
Toutes les </t>
    </r>
    <r>
      <rPr>
        <b/>
        <sz val="9"/>
        <color theme="4"/>
        <rFont val="BFU Suisse"/>
        <family val="2"/>
      </rPr>
      <t>sections du tronçon</t>
    </r>
    <r>
      <rPr>
        <sz val="9"/>
        <color theme="1"/>
        <rFont val="BFU Suisse"/>
        <family val="2"/>
      </rPr>
      <t xml:space="preserve"> où le véhicule </t>
    </r>
    <r>
      <rPr>
        <b/>
        <sz val="9"/>
        <color theme="4"/>
        <rFont val="BFU Suisse"/>
        <family val="2"/>
      </rPr>
      <t>n’atteint pas la vitesse maximale autorisée</t>
    </r>
    <r>
      <rPr>
        <sz val="9"/>
        <color theme="1"/>
        <rFont val="BFU Suisse"/>
        <family val="2"/>
      </rPr>
      <t xml:space="preserve"> sont </t>
    </r>
    <r>
      <rPr>
        <sz val="9"/>
        <color theme="4"/>
        <rFont val="BFU Suisse"/>
        <family val="2"/>
      </rPr>
      <t>indiqués</t>
    </r>
    <r>
      <rPr>
        <sz val="9"/>
        <color theme="1"/>
        <rFont val="BFU Suisse"/>
        <family val="2"/>
      </rPr>
      <t xml:space="preserve">. 
</t>
    </r>
    <r>
      <rPr>
        <i/>
        <u/>
        <sz val="9"/>
        <color theme="1"/>
        <rFont val="BFU Suisse"/>
        <family val="2"/>
      </rPr>
      <t>Remarque:</t>
    </r>
    <r>
      <rPr>
        <u/>
        <sz val="9"/>
        <color theme="1"/>
        <rFont val="BFU Suisse"/>
        <family val="2"/>
      </rPr>
      <t xml:space="preserve"> 
</t>
    </r>
    <r>
      <rPr>
        <i/>
        <sz val="9"/>
        <color theme="1"/>
        <rFont val="BFU Suisse"/>
        <family val="2"/>
      </rPr>
      <t xml:space="preserve">Une vitesse de circulation du véhicule sans conducteur nettement inférieure à la vitesse maximale autorisée peut avoir un impact sur le flux de trafic et la sécurité routière (cf. documentation accompagnante). </t>
    </r>
  </si>
  <si>
    <t>Résultat de l’évaluation du TJM</t>
  </si>
  <si>
    <t>Résultat de l’évaluation 
de l’accidentalité</t>
  </si>
  <si>
    <t>Résultat de l’évaluation 
du TJM</t>
  </si>
  <si>
    <r>
      <rPr>
        <i/>
        <sz val="9"/>
        <color theme="1"/>
        <rFont val="BFU Suisse"/>
        <family val="2"/>
      </rPr>
      <t>Concerne: comportement en cas d’accident</t>
    </r>
    <r>
      <rPr>
        <sz val="9"/>
        <color theme="1"/>
        <rFont val="BFU Suisse"/>
        <family val="2"/>
      </rPr>
      <t xml:space="preserve">
La demande d’autorisation décrit comment le·la détenteur·rice du véhicule </t>
    </r>
    <r>
      <rPr>
        <sz val="9"/>
        <color theme="4"/>
        <rFont val="BFU Suisse"/>
        <family val="2"/>
      </rPr>
      <t>garantit (sur le plan organisationnel)</t>
    </r>
    <r>
      <rPr>
        <sz val="9"/>
        <color theme="1"/>
        <rFont val="BFU Suisse"/>
        <family val="2"/>
      </rPr>
      <t xml:space="preserve"> que
- rien n’est modifié sur les lieux de l’accident, sauf si cela est nécessaire pour protéger les blessé·es ou sécuriser le trafic, et que </t>
    </r>
    <r>
      <rPr>
        <sz val="9"/>
        <color theme="4"/>
        <rFont val="BFU Suisse"/>
        <family val="2"/>
      </rPr>
      <t>la situation avant de déplacer des victimes ou des choses est documentée au préalable</t>
    </r>
    <r>
      <rPr>
        <sz val="9"/>
        <color theme="1"/>
        <rFont val="BFU Suisse"/>
        <family val="2"/>
      </rPr>
      <t xml:space="preserve"> (p. ex. par marquage ou photo);
- en cas </t>
    </r>
    <r>
      <rPr>
        <sz val="9"/>
        <rFont val="BFU Suisse"/>
        <family val="2"/>
      </rPr>
      <t>d’</t>
    </r>
    <r>
      <rPr>
        <sz val="9"/>
        <color theme="4"/>
        <rFont val="BFU Suisse"/>
        <family val="2"/>
      </rPr>
      <t>accident qui doit être déclaré</t>
    </r>
    <r>
      <rPr>
        <sz val="9"/>
        <rFont val="BFU Suisse"/>
        <family val="2"/>
      </rPr>
      <t>,</t>
    </r>
    <r>
      <rPr>
        <sz val="9"/>
        <color theme="1"/>
        <rFont val="BFU Suisse"/>
        <family val="2"/>
      </rPr>
      <t xml:space="preserve"> </t>
    </r>
    <r>
      <rPr>
        <sz val="9"/>
        <color theme="4"/>
        <rFont val="BFU Suisse"/>
        <family val="2"/>
      </rPr>
      <t>la police procède à la constatation des faits</t>
    </r>
    <r>
      <rPr>
        <sz val="9"/>
        <color theme="1"/>
        <rFont val="BFU Suisse"/>
        <family val="2"/>
      </rPr>
      <t xml:space="preserve"> et, en cas d’accident qui ne doit pas être déclaré, si une personne impliquée le demande;
- toutes les personnes impliquées </t>
    </r>
    <r>
      <rPr>
        <sz val="9"/>
        <color theme="4"/>
        <rFont val="BFU Suisse"/>
        <family val="2"/>
      </rPr>
      <t>participent à la constatation des faits</t>
    </r>
    <r>
      <rPr>
        <sz val="9"/>
        <color theme="1"/>
        <rFont val="BFU Suisse"/>
        <family val="2"/>
      </rPr>
      <t xml:space="preserve"> lorsqu’une personne appelle la police, même s’il n’y a pas d’obligation d’aviser cette dernière;
- </t>
    </r>
    <r>
      <rPr>
        <sz val="9"/>
        <color theme="4"/>
        <rFont val="BFU Suisse"/>
        <family val="2"/>
      </rPr>
      <t>le véhicule ne poursuit sa route</t>
    </r>
    <r>
      <rPr>
        <sz val="9"/>
        <color theme="1"/>
        <rFont val="BFU Suisse"/>
        <family val="2"/>
      </rPr>
      <t xml:space="preserve"> que s’il est garanti que </t>
    </r>
    <r>
      <rPr>
        <sz val="9"/>
        <color theme="4"/>
        <rFont val="BFU Suisse"/>
        <family val="2"/>
      </rPr>
      <t>les blessé·es sont secouru·es</t>
    </r>
    <r>
      <rPr>
        <sz val="9"/>
        <color theme="1"/>
        <rFont val="BFU Suisse"/>
        <family val="2"/>
      </rPr>
      <t xml:space="preserve"> et que </t>
    </r>
    <r>
      <rPr>
        <sz val="9"/>
        <color theme="4"/>
        <rFont val="BFU Suisse"/>
        <family val="2"/>
      </rPr>
      <t>l’accident peut tout de même être documenté intégralement</t>
    </r>
    <r>
      <rPr>
        <sz val="9"/>
        <color theme="1"/>
        <rFont val="BFU Suisse"/>
        <family val="2"/>
      </rPr>
      <t xml:space="preserve">;
- le </t>
    </r>
    <r>
      <rPr>
        <b/>
        <sz val="9"/>
        <color theme="4"/>
        <rFont val="BFU Suisse"/>
        <family val="2"/>
      </rPr>
      <t>système ou la personne responsable réagit</t>
    </r>
    <r>
      <rPr>
        <sz val="9"/>
        <color theme="1"/>
        <rFont val="BFU Suisse"/>
        <family val="2"/>
      </rPr>
      <t xml:space="preserve"> si l’on constate seulement par la suite que le véhicule a été impliqué dans un accident (p. ex. en informant la police).</t>
    </r>
  </si>
  <si>
    <r>
      <rPr>
        <b/>
        <sz val="26"/>
        <color theme="1"/>
        <rFont val="BFU Suisse"/>
        <family val="2"/>
      </rPr>
      <t xml:space="preserve">Étape 3.1: vérification des combinaisons de paramètres du réseau </t>
    </r>
    <r>
      <rPr>
        <b/>
        <sz val="26"/>
        <rFont val="BFU Suisse"/>
        <family val="2"/>
      </rPr>
      <t>claires</t>
    </r>
    <r>
      <rPr>
        <sz val="24"/>
        <rFont val="BFU Suisse"/>
        <family val="2"/>
      </rPr>
      <t xml:space="preserve"> </t>
    </r>
    <r>
      <rPr>
        <sz val="16"/>
        <rFont val="BFU Suisse"/>
        <family val="2"/>
      </rPr>
      <t xml:space="preserve">
Objectif:  confirmation de la capacité à assumer la conduite pour tous les éléments du tronçon clairement définis</t>
    </r>
  </si>
  <si>
    <r>
      <rPr>
        <b/>
        <sz val="26"/>
        <color theme="1"/>
        <rFont val="BFU Suisse"/>
        <family val="2"/>
      </rPr>
      <t xml:space="preserve">Étape 3.2: vérification des tronçons potentiellement critiques </t>
    </r>
    <r>
      <rPr>
        <b/>
        <sz val="24"/>
        <color theme="1"/>
        <rFont val="BFU Suisse"/>
        <family val="2"/>
      </rPr>
      <t xml:space="preserve">
</t>
    </r>
    <r>
      <rPr>
        <sz val="16"/>
        <color theme="1"/>
        <rFont val="BFU Suisse"/>
        <family val="2"/>
      </rPr>
      <t>Objectif:  évaluation des éléments du tronçon pertinents pour la sécurité et délivrance de l’autorisation de circulation (le cas échéant assortie de conditions)</t>
    </r>
  </si>
  <si>
    <t>avec indication précise</t>
  </si>
  <si>
    <r>
      <t xml:space="preserve">Exigences 
</t>
    </r>
    <r>
      <rPr>
        <sz val="12"/>
        <color theme="0"/>
        <rFont val="BFU Suisse"/>
        <family val="2"/>
      </rPr>
      <t>concernant la taille de la flotte et les arrêts</t>
    </r>
  </si>
  <si>
    <r>
      <rPr>
        <i/>
        <sz val="9"/>
        <color theme="1"/>
        <rFont val="BFU Suisse"/>
        <family val="2"/>
      </rPr>
      <t>Concerne: processus d’exploitation</t>
    </r>
    <r>
      <rPr>
        <sz val="9"/>
        <color theme="1"/>
        <rFont val="BFU Suisse"/>
        <family val="2"/>
      </rPr>
      <t xml:space="preserve">
La demande décrit comment procéder en cas de </t>
    </r>
    <r>
      <rPr>
        <b/>
        <sz val="9"/>
        <color theme="4"/>
        <rFont val="BFU Suisse"/>
        <family val="2"/>
      </rPr>
      <t>perturbation d’exploitation</t>
    </r>
    <r>
      <rPr>
        <sz val="9"/>
        <color theme="1"/>
        <rFont val="BFU Suisse"/>
        <family val="2"/>
      </rPr>
      <t xml:space="preserve"> (p. ex. à la suite d’une panne ou d’un accident)</t>
    </r>
    <r>
      <rPr>
        <b/>
        <sz val="9"/>
        <color theme="4"/>
        <rFont val="BFU Suisse"/>
        <family val="2"/>
      </rPr>
      <t xml:space="preserve"> dans la centrale des opérateur·rices</t>
    </r>
    <r>
      <rPr>
        <sz val="9"/>
        <color theme="1"/>
        <rFont val="BFU Suisse"/>
        <family val="2"/>
      </rPr>
      <t xml:space="preserve"> (p. ex. sous la forme d’un concept en cas d’urgence).
</t>
    </r>
    <r>
      <rPr>
        <i/>
        <u/>
        <sz val="9"/>
        <color theme="1"/>
        <rFont val="BFU Suisse"/>
        <family val="2"/>
      </rPr>
      <t xml:space="preserve">Indications pour l’évaluation: </t>
    </r>
    <r>
      <rPr>
        <sz val="9"/>
        <color theme="1"/>
        <rFont val="BFU Suisse"/>
        <family val="2"/>
      </rPr>
      <t xml:space="preserve">
</t>
    </r>
    <r>
      <rPr>
        <i/>
        <sz val="9"/>
        <color theme="1"/>
        <rFont val="BFU Suisse"/>
        <family val="2"/>
      </rPr>
      <t>Il s’agit en particulier d’indiquer comment l’alimentation électrique et l’exploitation ininterrompue de l’électronique, de l’informatique et de la communication sont assurées en permanence.</t>
    </r>
  </si>
  <si>
    <t>3.21</t>
  </si>
  <si>
    <t>3.21.1</t>
  </si>
  <si>
    <t>3.21.2</t>
  </si>
  <si>
    <t>3.21.3</t>
  </si>
  <si>
    <t>3.21.4</t>
  </si>
  <si>
    <t>3.21.5</t>
  </si>
  <si>
    <t>3.21.6</t>
  </si>
  <si>
    <t>3.21.7</t>
  </si>
  <si>
    <t>3.23</t>
  </si>
  <si>
    <t>3.23.2</t>
  </si>
  <si>
    <t>3.23.3</t>
  </si>
  <si>
    <t>3.23.4</t>
  </si>
  <si>
    <t>3.23.1</t>
  </si>
  <si>
    <r>
      <rPr>
        <sz val="9"/>
        <rFont val="BFU Suisse"/>
        <family val="2"/>
      </rPr>
      <t>La demande d’autorisation contient la</t>
    </r>
    <r>
      <rPr>
        <sz val="9"/>
        <color theme="1"/>
        <rFont val="BFU Suisse"/>
        <family val="2"/>
      </rPr>
      <t xml:space="preserve"> </t>
    </r>
    <r>
      <rPr>
        <b/>
        <sz val="9"/>
        <color theme="4"/>
        <rFont val="BFU Suisse"/>
        <family val="2"/>
      </rPr>
      <t>confirmation</t>
    </r>
    <r>
      <rPr>
        <sz val="9"/>
        <color theme="1"/>
        <rFont val="BFU Suisse"/>
        <family val="2"/>
      </rPr>
      <t xml:space="preserve"> d’une </t>
    </r>
    <r>
      <rPr>
        <b/>
        <sz val="9"/>
        <color theme="4"/>
        <rFont val="BFU Suisse"/>
        <family val="2"/>
      </rPr>
      <t>liaison radio fiable</t>
    </r>
    <r>
      <rPr>
        <sz val="9"/>
        <color theme="1"/>
        <rFont val="BFU Suisse"/>
        <family val="2"/>
      </rPr>
      <t xml:space="preserve"> avec une </t>
    </r>
    <r>
      <rPr>
        <b/>
        <sz val="9"/>
        <color theme="4"/>
        <rFont val="BFU Suisse"/>
        <family val="2"/>
      </rPr>
      <t>latence adéquate</t>
    </r>
    <r>
      <rPr>
        <sz val="9"/>
        <color theme="1"/>
        <rFont val="BFU Suisse"/>
        <family val="2"/>
      </rPr>
      <t xml:space="preserve"> pour l’ensemble des conditions d’utilisation pour lesquelles l’autorisation est demandée (p. ex. par un fournisseur de communication ou par l’OFCOM).
</t>
    </r>
    <r>
      <rPr>
        <u/>
        <sz val="9"/>
        <color theme="1"/>
        <rFont val="BFU Suisse"/>
        <family val="2"/>
      </rPr>
      <t>Remarque:</t>
    </r>
    <r>
      <rPr>
        <sz val="9"/>
        <color theme="1"/>
        <rFont val="BFU Suisse"/>
        <family val="2"/>
      </rPr>
      <t xml:space="preserve">
Le temps de latence est le temps qui s’écoule entre l’enregistrement du signal ou de l’image et sa représentation complète sur le périphérique de sortie de l’opérateur·rice ainsi que le temps qui s’écoule entre l’émission du signal par l’opérateur·rice et sa réception   par l’actionneur commandé du véhicule sans conducteur.
</t>
    </r>
    <r>
      <rPr>
        <i/>
        <sz val="9"/>
        <color theme="1"/>
        <rFont val="BFU Suisse"/>
        <family val="2"/>
      </rPr>
      <t>L’exigence est évaluée sur la base des questions suivantes (3.23.1 - 3.23.4).</t>
    </r>
  </si>
  <si>
    <r>
      <rPr>
        <sz val="9"/>
        <rFont val="BFU Suisse"/>
        <family val="2"/>
      </rPr>
      <t xml:space="preserve">Dans la demande d’autorisation ou le concept d’exploitation, il est démontré que les opérateur·rices disposent </t>
    </r>
    <r>
      <rPr>
        <b/>
        <sz val="9"/>
        <color theme="4"/>
        <rFont val="BFU Suisse"/>
        <family val="2"/>
      </rPr>
      <t>en tout temps d’un accès suffisant aux données et aux informations indispensables concernant l’exploitation des véhicules visées dans le concept
d’exploitation.</t>
    </r>
    <r>
      <rPr>
        <sz val="9"/>
        <rFont val="BFU Suisse"/>
        <family val="2"/>
      </rPr>
      <t xml:space="preserve"> 
</t>
    </r>
    <r>
      <rPr>
        <i/>
        <sz val="9"/>
        <rFont val="BFU Suisse"/>
        <family val="2"/>
      </rPr>
      <t>L’exigence est évaluée sur la base des questions suivantes (3.21.1-3.21.7).</t>
    </r>
  </si>
  <si>
    <r>
      <t xml:space="preserve">La description des </t>
    </r>
    <r>
      <rPr>
        <b/>
        <sz val="9"/>
        <color theme="4"/>
        <rFont val="BFU Suisse"/>
        <family val="2"/>
      </rPr>
      <t>processus pertinents pour la sécurité</t>
    </r>
    <r>
      <rPr>
        <sz val="9"/>
        <color theme="4"/>
        <rFont val="BFU Suisse"/>
        <family val="2"/>
      </rPr>
      <t xml:space="preserve"> </t>
    </r>
    <r>
      <rPr>
        <sz val="9"/>
        <color theme="1"/>
        <rFont val="BFU Suisse"/>
        <family val="2"/>
      </rPr>
      <t xml:space="preserve">est </t>
    </r>
    <r>
      <rPr>
        <sz val="9"/>
        <color theme="4"/>
        <rFont val="BFU Suisse"/>
        <family val="2"/>
      </rPr>
      <t>compréhensible / convaincante / suffisante.</t>
    </r>
  </si>
  <si>
    <r>
      <rPr>
        <i/>
        <sz val="9"/>
        <rFont val="BFU Suisse"/>
        <family val="2"/>
      </rPr>
      <t>Concerne: comportement dans et aux abords des giratoires</t>
    </r>
    <r>
      <rPr>
        <sz val="9"/>
        <rFont val="BFU Suisse"/>
        <family val="2"/>
      </rPr>
      <t xml:space="preserve">
Il est décrit </t>
    </r>
    <r>
      <rPr>
        <sz val="9"/>
        <color theme="4"/>
        <rFont val="BFU Suisse"/>
        <family val="2"/>
      </rPr>
      <t>comment le véhicule se comporte à l’égard des cycliste</t>
    </r>
    <r>
      <rPr>
        <b/>
        <sz val="9"/>
        <color theme="4"/>
        <rFont val="BFU Suisse"/>
        <family val="2"/>
      </rPr>
      <t>s avant et dans les giratoires</t>
    </r>
    <r>
      <rPr>
        <sz val="9"/>
        <rFont val="BFU Suisse"/>
        <family val="2"/>
      </rPr>
      <t xml:space="preserve"> (permet-il, p. ex, aux cy-clistes de se placer au milieu de leur voie de circulation avant un giratoire et au milieu de la chaussée à l’intérieur du giratoire? Dépasse-t-il les cyclistes avant et dans le giratoire?).</t>
    </r>
  </si>
  <si>
    <r>
      <rPr>
        <i/>
        <sz val="9"/>
        <rFont val="BFU Suisse"/>
        <family val="2"/>
      </rPr>
      <t xml:space="preserve">Concerne: arrêts
</t>
    </r>
    <r>
      <rPr>
        <sz val="9"/>
        <rFont val="BFU Suisse"/>
        <family val="2"/>
      </rPr>
      <t xml:space="preserve">
La demande d’autorisation montre de manière compréhensible où et </t>
    </r>
    <r>
      <rPr>
        <b/>
        <sz val="9"/>
        <color theme="4"/>
        <rFont val="BFU Suisse"/>
        <family val="2"/>
      </rPr>
      <t>dans quelles conditions les véhicules sans conducteur s’arrêtent</t>
    </r>
    <r>
      <rPr>
        <sz val="9"/>
        <rFont val="BFU Suisse"/>
        <family val="2"/>
      </rPr>
      <t>, notamment pour laisser monter et descendre des personnes ou pour permettre le chargement/déchargement de marchandises. 
Il est clairement identifiable si les arrêts choisis sont conformes aux règles cantonales et communales (p. ex. lieux où il est interdit de s’arrêter).</t>
    </r>
  </si>
  <si>
    <r>
      <t xml:space="preserve">Paramètres du réseau – sections
</t>
    </r>
    <r>
      <rPr>
        <sz val="12"/>
        <color theme="0"/>
        <rFont val="BFU Suisse"/>
        <family val="2"/>
      </rPr>
      <t xml:space="preserve"> (en localité, hors localité, sur autoroute / semi-autoroute)</t>
    </r>
  </si>
  <si>
    <t>Identification des endroits particulièrement complexes</t>
  </si>
  <si>
    <t>Objectif: le tronçon faisant l’objet de la demande est divisé en segments. La caractérisation et l’évaluation des segments se fondent sur les paramètres du réseau et les indices selon la norme VSS 41713 (norme relative aux indices RIA/NSM).</t>
  </si>
  <si>
    <t>Vérification des segments claires</t>
  </si>
  <si>
    <r>
      <t xml:space="preserve">Paramètres du réseau – sections
</t>
    </r>
    <r>
      <rPr>
        <sz val="12"/>
        <color theme="0"/>
        <rFont val="BFU Suisse"/>
        <family val="2"/>
      </rPr>
      <t>(en localité, hors localité, autoroute / semi-autoroute)</t>
    </r>
  </si>
  <si>
    <r>
      <t xml:space="preserve">Segment(s) concerné(s) 
</t>
    </r>
    <r>
      <rPr>
        <sz val="12"/>
        <color theme="1"/>
        <rFont val="BFU Suisse"/>
        <family val="2"/>
      </rPr>
      <t>(numéros de ligne, voir étape 2)</t>
    </r>
  </si>
  <si>
    <r>
      <t xml:space="preserve">Il est </t>
    </r>
    <r>
      <rPr>
        <b/>
        <sz val="9"/>
        <rFont val="BFU Suisse"/>
        <family val="2"/>
      </rPr>
      <t>prouvé</t>
    </r>
    <r>
      <rPr>
        <sz val="9"/>
        <rFont val="BFU Suisse"/>
        <family val="2"/>
      </rPr>
      <t xml:space="preserve"> que tou·tes les opérateur·rices prévu·es possèdent un </t>
    </r>
    <r>
      <rPr>
        <b/>
        <sz val="9"/>
        <color theme="4"/>
        <rFont val="BFU Suisse"/>
        <family val="2"/>
      </rPr>
      <t>permis de conduire</t>
    </r>
    <r>
      <rPr>
        <sz val="9"/>
        <rFont val="BFU Suisse"/>
        <family val="2"/>
      </rPr>
      <t xml:space="preserve"> autorisant la conduite de véhicules de la catégorie à laquelle appartient le véhicule sans conducteur, </t>
    </r>
    <r>
      <rPr>
        <b/>
        <sz val="9"/>
        <color theme="4"/>
        <rFont val="BFU Suisse"/>
        <family val="2"/>
      </rPr>
      <t>le minimum étant toutefois un permis de la catégorie B, ou il existe une confirmation</t>
    </r>
    <r>
      <rPr>
        <sz val="9"/>
        <color theme="1"/>
        <rFont val="BFU Suisse"/>
        <family val="2"/>
      </rPr>
      <t xml:space="preserve"> que cette condition est garantie pour tou·tes les opérateur·rices nouvellement engagé·es.</t>
    </r>
  </si>
  <si>
    <r>
      <rPr>
        <i/>
        <sz val="9"/>
        <rFont val="BFU Suisse"/>
        <family val="2"/>
      </rPr>
      <t xml:space="preserve">En cas de perturbation ou de situation d’urgence, les opérateur·rices doivent être en mesure de communiquer avec les passager·ères des véhicules sans conducteur de manière compréhensible et adaptée à la situation. </t>
    </r>
    <r>
      <rPr>
        <sz val="9"/>
        <rFont val="BFU Suisse"/>
        <family val="2"/>
      </rPr>
      <t xml:space="preserve">
Les opérateur·rices prévu·es </t>
    </r>
    <r>
      <rPr>
        <sz val="9"/>
        <color theme="4"/>
        <rFont val="BFU Suisse"/>
        <family val="2"/>
      </rPr>
      <t>parlent</t>
    </r>
    <r>
      <rPr>
        <sz val="9"/>
        <rFont val="BFU Suisse"/>
        <family val="2"/>
      </rPr>
      <t xml:space="preserve"> </t>
    </r>
    <r>
      <rPr>
        <sz val="9"/>
        <color theme="4"/>
        <rFont val="BFU Suisse"/>
        <family val="2"/>
      </rPr>
      <t>couramment au moins</t>
    </r>
    <r>
      <rPr>
        <sz val="9"/>
        <rFont val="BFU Suisse"/>
        <family val="2"/>
      </rPr>
      <t xml:space="preserve"> </t>
    </r>
    <r>
      <rPr>
        <b/>
        <sz val="9"/>
        <color theme="4"/>
        <rFont val="BFU Suisse"/>
        <family val="2"/>
      </rPr>
      <t>la langue officielle locale</t>
    </r>
    <r>
      <rPr>
        <sz val="9"/>
        <rFont val="BFU Suisse"/>
        <family val="2"/>
      </rPr>
      <t xml:space="preserve"> (p. ex. gr</t>
    </r>
    <r>
      <rPr>
        <sz val="9"/>
        <color theme="1"/>
        <rFont val="BFU Suisse"/>
        <family val="2"/>
      </rPr>
      <t>âce à leur expérience professionnelle, en tant que langue maternelle ou en raison d’une qualification équivalente)</t>
    </r>
    <r>
      <rPr>
        <sz val="9"/>
        <color rgb="FF00B050"/>
        <rFont val="BFU Suisse"/>
        <family val="2"/>
      </rPr>
      <t>,</t>
    </r>
    <r>
      <rPr>
        <sz val="9"/>
        <color theme="4"/>
        <rFont val="BFU Suisse"/>
        <family val="2"/>
      </rPr>
      <t xml:space="preserve"> ou il existe une confirmation </t>
    </r>
    <r>
      <rPr>
        <sz val="9"/>
        <color theme="1"/>
        <rFont val="BFU Suisse"/>
        <family val="2"/>
      </rPr>
      <t>que cette condition est garantie pour tou·tes les opérateur·rices nouvellement engagé·es.</t>
    </r>
    <r>
      <rPr>
        <sz val="9"/>
        <rFont val="BFU Suisse"/>
        <family val="2"/>
      </rPr>
      <t xml:space="preserve">
</t>
    </r>
    <r>
      <rPr>
        <i/>
        <u/>
        <sz val="9"/>
        <rFont val="BFU Suisse"/>
        <family val="2"/>
      </rPr>
      <t xml:space="preserve">Indications pour l’évaluation: 
</t>
    </r>
    <r>
      <rPr>
        <i/>
        <sz val="9"/>
        <rFont val="BFU Suisse"/>
        <family val="2"/>
      </rPr>
      <t>- Dans les régions unilingues, la maîtrise de la langue nationale en question est suffisante.
- Dans les régions bilingues, la maîtrise des deux langues nationales en question est souhaitable, mais la maîtrise d’au moins l’une des deux langues est suffisante. Le concept d’exploitation devrait décrire la manière dont la communication peut être assurée en dépit d’un manque de connaissances linguistiques dans la deuxième langue nationale. L’anglais peut servir de substitut si une seule langue nationale est maîtrisée dans une région bilingue.
 - Dans les régions à forte fréquentation touristique, un niveau d’anglais au minimum intermédiaire devrait impérativement être exigé.</t>
    </r>
  </si>
  <si>
    <r>
      <rPr>
        <i/>
        <sz val="9"/>
        <rFont val="BFU Suisse"/>
        <family val="2"/>
      </rPr>
      <t>Concerne: pilotage manuel du véhicule</t>
    </r>
    <r>
      <rPr>
        <sz val="9"/>
        <rFont val="BFU Suisse"/>
        <family val="2"/>
      </rPr>
      <t xml:space="preserve">
Le</t>
    </r>
    <r>
      <rPr>
        <b/>
        <sz val="9"/>
        <rFont val="BFU Suisse"/>
        <family val="2"/>
      </rPr>
      <t xml:space="preserve"> constructeur </t>
    </r>
    <r>
      <rPr>
        <sz val="9"/>
        <rFont val="BFU Suisse"/>
        <family val="2"/>
      </rPr>
      <t xml:space="preserve">du véhicule sans conducteur a prévu que son véhicule puisse être </t>
    </r>
    <r>
      <rPr>
        <b/>
        <sz val="9"/>
        <color theme="4"/>
        <rFont val="BFU Suisse"/>
        <family val="2"/>
      </rPr>
      <t xml:space="preserve">piloté manuellement </t>
    </r>
    <r>
      <rPr>
        <sz val="9"/>
        <color theme="4"/>
        <rFont val="BFU Suisse"/>
        <family val="2"/>
      </rPr>
      <t xml:space="preserve">dans le respect des dispositions réglementaires détermi-nantes </t>
    </r>
    <r>
      <rPr>
        <sz val="9"/>
        <color theme="1"/>
        <rFont val="BFU Suisse"/>
        <family val="2"/>
      </rPr>
      <t>(c.–à-d. directement dans le véhicule sans conducteur ou par commande à distance dans un périmètre de 10 m).</t>
    </r>
    <r>
      <rPr>
        <sz val="9"/>
        <rFont val="BFU Suisse"/>
        <family val="2"/>
      </rPr>
      <t xml:space="preserve">
</t>
    </r>
    <r>
      <rPr>
        <i/>
        <sz val="9"/>
        <rFont val="BFU Suisse"/>
        <family val="2"/>
      </rPr>
      <t>(si la réponse est «non», les questions suivantes 3.10.1 et 3.10.2 sont caduques)</t>
    </r>
  </si>
  <si>
    <r>
      <rPr>
        <i/>
        <sz val="9"/>
        <rFont val="BFU Suisse"/>
        <family val="2"/>
      </rPr>
      <t>Concerne: adéquation de la laten</t>
    </r>
    <r>
      <rPr>
        <i/>
        <sz val="9"/>
        <color theme="1"/>
        <rFont val="BFU Suisse"/>
        <family val="2"/>
      </rPr>
      <t>ce opérateur·rice</t>
    </r>
    <r>
      <rPr>
        <b/>
        <sz val="9"/>
        <color theme="4"/>
        <rFont val="BFU Suisse"/>
        <family val="2"/>
      </rPr>
      <t xml:space="preserve">
La latence</t>
    </r>
    <r>
      <rPr>
        <sz val="9"/>
        <rFont val="BFU Suisse"/>
        <family val="2"/>
      </rPr>
      <t xml:space="preserve"> indiquée dans la confirmation est </t>
    </r>
    <r>
      <rPr>
        <b/>
        <sz val="9"/>
        <color theme="4"/>
        <rFont val="BFU Suisse"/>
        <family val="2"/>
      </rPr>
      <t xml:space="preserve">au maximum de 700 ms </t>
    </r>
    <r>
      <rPr>
        <sz val="9"/>
        <color theme="4"/>
        <rFont val="BFU Suisse"/>
        <family val="2"/>
      </rPr>
      <t>pour autant que le constructeur automobile ne définisse aucune (autre) exigences spécifique en la matière.</t>
    </r>
    <r>
      <rPr>
        <sz val="9"/>
        <color rgb="FF00B050"/>
        <rFont val="BFU Suisse"/>
        <family val="2"/>
      </rPr>
      <t xml:space="preserve">
</t>
    </r>
    <r>
      <rPr>
        <i/>
        <u/>
        <sz val="9"/>
        <color theme="1"/>
        <rFont val="BFU Suisse"/>
        <family val="2"/>
      </rPr>
      <t>Indications pour l’évaluation:</t>
    </r>
    <r>
      <rPr>
        <i/>
        <sz val="9"/>
        <color theme="1"/>
        <rFont val="BFU Suisse"/>
        <family val="2"/>
      </rPr>
      <t xml:space="preserve">
Toute latence divergente devrait figurer dans l’attestation de type. Toute valeur indiquée par le constructeur automobile qui ne figure pas dans l’attestation de type devrait être justifiée de manière compréhensible.</t>
    </r>
  </si>
  <si>
    <r>
      <t xml:space="preserve">Concerne: latence appropriée pour les opérateur·rices manuels sans commandes conventionnelles
La latence indiquée dans la confirmation est au </t>
    </r>
    <r>
      <rPr>
        <b/>
        <sz val="9"/>
        <color theme="4"/>
        <rFont val="BFU Suisse"/>
        <family val="2"/>
      </rPr>
      <t>maximum de 200 ms</t>
    </r>
    <r>
      <rPr>
        <sz val="9"/>
        <color theme="1"/>
        <rFont val="BFU Suisse"/>
        <family val="2"/>
      </rPr>
      <t xml:space="preserve">, </t>
    </r>
    <r>
      <rPr>
        <sz val="9"/>
        <color theme="4"/>
        <rFont val="BFU Suisse"/>
        <family val="2"/>
      </rPr>
      <t>pour autant que le constructeur ne définisse pas d’(dautres) exigences spécifiques concernant la latence maximale admise.</t>
    </r>
    <r>
      <rPr>
        <sz val="9"/>
        <color theme="1"/>
        <rFont val="BFU Suisse"/>
        <family val="2"/>
      </rPr>
      <t xml:space="preserve"> </t>
    </r>
  </si>
  <si>
    <r>
      <rPr>
        <i/>
        <sz val="9"/>
        <color theme="1"/>
        <rFont val="BFU Suisse"/>
        <family val="2"/>
      </rPr>
      <t xml:space="preserve">Concerne: montée et descente, chargement et déchargement de marchandises
</t>
    </r>
    <r>
      <rPr>
        <sz val="9"/>
        <color theme="1"/>
        <rFont val="BFU Suisse"/>
        <family val="2"/>
      </rPr>
      <t xml:space="preserve"> 
La demande </t>
    </r>
    <r>
      <rPr>
        <sz val="9"/>
        <color theme="4"/>
        <rFont val="BFU Suisse"/>
        <family val="2"/>
      </rPr>
      <t>décrit</t>
    </r>
    <r>
      <rPr>
        <sz val="9"/>
        <color theme="1"/>
        <rFont val="BFU Suisse"/>
        <family val="2"/>
      </rPr>
      <t xml:space="preserve"> comment le·la détenteur·rice du véhicule</t>
    </r>
    <r>
      <rPr>
        <sz val="9"/>
        <color theme="4"/>
        <rFont val="BFU Suisse"/>
        <family val="2"/>
      </rPr>
      <t xml:space="preserve"> garantit (sur le plan organisationnel)</t>
    </r>
    <r>
      <rPr>
        <sz val="9"/>
        <color theme="1"/>
        <rFont val="BFU Suisse"/>
        <family val="2"/>
      </rPr>
      <t xml:space="preserve"> que les </t>
    </r>
    <r>
      <rPr>
        <b/>
        <sz val="9"/>
        <color theme="4"/>
        <rFont val="BFU Suisse"/>
        <family val="2"/>
      </rPr>
      <t>usager·ères de la route (en particulier usager·ères de la mobilité douce) ne sont pas mis·es en danger lors de la montée et de la descente</t>
    </r>
    <r>
      <rPr>
        <sz val="9"/>
        <color theme="1"/>
        <rFont val="BFU Suisse"/>
        <family val="2"/>
      </rPr>
      <t xml:space="preserve"> (lors de l’ouverture des portières, une attention particulière doit être portée au trafic venant de l’arrière) ni gêné·es.</t>
    </r>
  </si>
  <si>
    <r>
      <rPr>
        <i/>
        <sz val="9"/>
        <rFont val="BFU Suisse"/>
        <family val="2"/>
      </rPr>
      <t>Concerne: reconnaissance des personnes vulnérables</t>
    </r>
    <r>
      <rPr>
        <sz val="9"/>
        <rFont val="BFU Suisse"/>
        <family val="2"/>
      </rPr>
      <t xml:space="preserve">
Il est démontré que le véhicule</t>
    </r>
    <r>
      <rPr>
        <sz val="9"/>
        <color rgb="FF00B050"/>
        <rFont val="BFU Suisse"/>
        <family val="2"/>
      </rPr>
      <t xml:space="preserve"> </t>
    </r>
    <r>
      <rPr>
        <sz val="9"/>
        <color theme="1"/>
        <rFont val="BFU Suisse"/>
        <family val="2"/>
      </rPr>
      <t>accorde la priorité aux</t>
    </r>
    <r>
      <rPr>
        <sz val="9"/>
        <color theme="4"/>
        <rFont val="BFU Suisse"/>
        <family val="2"/>
      </rPr>
      <t xml:space="preserve"> </t>
    </r>
    <r>
      <rPr>
        <b/>
        <sz val="9"/>
        <color theme="4"/>
        <rFont val="BFU Suisse"/>
        <family val="2"/>
      </rPr>
      <t>pié-ton·nes signalant leur intention de traverser au moyen d’une canne blanche</t>
    </r>
    <r>
      <rPr>
        <sz val="9"/>
        <color theme="4"/>
        <rFont val="BFU Suisse"/>
        <family val="2"/>
      </rPr>
      <t>,</t>
    </r>
    <r>
      <rPr>
        <sz val="9"/>
        <color theme="1"/>
        <rFont val="BFU Suisse"/>
        <family val="2"/>
      </rPr>
      <t xml:space="preserve"> même en dehors des traversées définies.</t>
    </r>
  </si>
  <si>
    <r>
      <rPr>
        <i/>
        <sz val="9"/>
        <rFont val="BFU Suisse"/>
        <family val="2"/>
      </rPr>
      <t>Concerne: description des ODD</t>
    </r>
    <r>
      <rPr>
        <sz val="9"/>
        <rFont val="BFU Suisse"/>
        <family val="2"/>
      </rPr>
      <t xml:space="preserve">
La demande </t>
    </r>
    <r>
      <rPr>
        <sz val="9"/>
        <color theme="4"/>
        <rFont val="BFU Suisse"/>
        <family val="2"/>
      </rPr>
      <t>décrit de manière compréhensible</t>
    </r>
    <r>
      <rPr>
        <sz val="9"/>
        <rFont val="BFU Suisse"/>
        <family val="2"/>
      </rPr>
      <t xml:space="preserve"> les </t>
    </r>
    <r>
      <rPr>
        <b/>
        <sz val="9"/>
        <color theme="4"/>
        <rFont val="BFU Suisse"/>
        <family val="2"/>
      </rPr>
      <t>limites des ODD</t>
    </r>
    <r>
      <rPr>
        <sz val="9"/>
        <rFont val="BFU Suisse"/>
        <family val="2"/>
      </rPr>
      <t xml:space="preserve"> (selon ISO 34503) applicables au véhicule.
</t>
    </r>
    <r>
      <rPr>
        <i/>
        <u/>
        <sz val="9"/>
        <rFont val="BFU Suisse"/>
        <family val="2"/>
      </rPr>
      <t xml:space="preserve">Indications pour l’évaluation: </t>
    </r>
    <r>
      <rPr>
        <i/>
        <sz val="9"/>
        <rFont val="BFU Suisse"/>
        <family val="2"/>
      </rPr>
      <t xml:space="preserve">
Il est clairement décrit dans quelles conditions le véhicule ne peut/ne doit pas être utilisé ou seulement de manière limitée. La description doit s’inspirer de la norme ISO 34503 et inclure tous les </t>
    </r>
    <r>
      <rPr>
        <i/>
        <sz val="9"/>
        <color theme="1"/>
        <rFont val="BFU Suisse"/>
        <family val="2"/>
      </rPr>
      <t>attributs ODD</t>
    </r>
    <r>
      <rPr>
        <i/>
        <sz val="9"/>
        <rFont val="BFU Suisse"/>
        <family val="2"/>
      </rPr>
      <t xml:space="preserve"> de celle-ci: 
</t>
    </r>
    <r>
      <rPr>
        <i/>
        <sz val="9"/>
        <color theme="1"/>
        <rFont val="BFU Suisse"/>
        <family val="2"/>
      </rPr>
      <t>Exemples de limites relatives aux éléments de l’environnement («scenery elements») selon la norme ISO 34503: le véhicule est dépendant de la ligne médiane; il ne peut généralement pas maîtriser certains rayons de virages, pentes ascendantes ou situations de chantier routier, ou pas emprunter certaines chaussées en raison des dimensions de leurs voies de circulation (p. ex. largeur) ou de leurs caractéris-tiques de surface (p. ex. routes verglacées, mouillées ou ennei-gées).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</si>
</sst>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0"/>
  </numFmts>
  <fonts count="92">
    <font>
      <sz val="9"/>
      <color theme="1"/>
      <name val="BFU Suisse"/>
      <family val="2"/>
    </font>
    <font>
      <b/>
      <sz val="9"/>
      <color theme="1"/>
      <name val="BFU Suisse"/>
      <family val="2"/>
    </font>
    <font>
      <sz val="9"/>
      <color theme="0"/>
      <name val="BFU Suisse"/>
      <family val="2"/>
    </font>
    <font>
      <b/>
      <sz val="10"/>
      <color theme="1"/>
      <name val="BFU Suisse"/>
      <family val="2"/>
    </font>
    <font>
      <b/>
      <sz val="12"/>
      <color theme="1"/>
      <name val="BFU Suisse"/>
      <family val="2"/>
    </font>
    <font>
      <b/>
      <sz val="18"/>
      <color theme="1"/>
      <name val="BFU Suisse"/>
      <family val="2"/>
    </font>
    <font>
      <b/>
      <sz val="20"/>
      <color theme="1"/>
      <name val="BFU Suisse"/>
      <family val="2"/>
    </font>
    <font>
      <b/>
      <sz val="36"/>
      <color theme="1"/>
      <name val="BFU Suisse"/>
      <family val="2"/>
    </font>
    <font>
      <sz val="10"/>
      <color theme="1"/>
      <name val="BFU Suisse"/>
      <family val="2"/>
    </font>
    <font>
      <b/>
      <sz val="10"/>
      <color rgb="FF009999"/>
      <name val="BFU Suisse"/>
      <family val="2"/>
    </font>
    <font>
      <sz val="10"/>
      <name val="BFU Suisse"/>
      <family val="2"/>
    </font>
    <font>
      <i/>
      <sz val="9"/>
      <color theme="1"/>
      <name val="BFU Suisse"/>
      <family val="2"/>
    </font>
    <font>
      <b/>
      <sz val="9"/>
      <color theme="4"/>
      <name val="BFU Suisse"/>
      <family val="2"/>
    </font>
    <font>
      <b/>
      <sz val="9"/>
      <name val="BFU Suisse"/>
      <family val="2"/>
    </font>
    <font>
      <sz val="9"/>
      <color theme="4"/>
      <name val="BFU Suisse"/>
      <family val="2"/>
    </font>
    <font>
      <b/>
      <sz val="9"/>
      <color theme="4" tint="-0.249977111117893"/>
      <name val="BFU Suisse"/>
      <family val="2"/>
    </font>
    <font>
      <sz val="9"/>
      <name val="BFU Suisse"/>
      <family val="2"/>
    </font>
    <font>
      <sz val="9"/>
      <color theme="1" tint="0.499984740745262"/>
      <name val="BFU Suisse"/>
      <family val="2"/>
    </font>
    <font>
      <sz val="8"/>
      <color theme="1"/>
      <name val="BFU Suisse"/>
      <family val="2"/>
    </font>
    <font>
      <sz val="8"/>
      <name val="BFU Suisse"/>
      <family val="2"/>
    </font>
    <font>
      <vertAlign val="superscript"/>
      <sz val="9"/>
      <color theme="1"/>
      <name val="BFU Suisse"/>
      <family val="2"/>
    </font>
    <font>
      <b/>
      <sz val="12"/>
      <color theme="0"/>
      <name val="BFU Suisse"/>
      <family val="2"/>
    </font>
    <font>
      <sz val="10"/>
      <color theme="0"/>
      <name val="BFU Suisse"/>
      <family val="2"/>
    </font>
    <font>
      <sz val="9"/>
      <color theme="4" tint="-0.249977111117893"/>
      <name val="BFU Suisse"/>
      <family val="2"/>
    </font>
    <font>
      <i/>
      <sz val="9"/>
      <color theme="4" tint="-0.249977111117893"/>
      <name val="BFU Suisse"/>
      <family val="2"/>
    </font>
    <font>
      <sz val="9"/>
      <color theme="8"/>
      <name val="BFU Suisse"/>
      <family val="2"/>
    </font>
    <font>
      <b/>
      <sz val="10"/>
      <name val="BFU Suisse"/>
      <family val="2"/>
    </font>
    <font>
      <sz val="12"/>
      <color theme="0"/>
      <name val="BFU Suisse"/>
      <family val="2"/>
    </font>
    <font>
      <b/>
      <sz val="12"/>
      <color theme="3"/>
      <name val="BFU Suisse"/>
      <family val="2"/>
    </font>
    <font>
      <b/>
      <sz val="14"/>
      <color theme="0"/>
      <name val="BFU Suisse"/>
      <family val="2"/>
    </font>
    <font>
      <sz val="9"/>
      <color rgb="FF009999"/>
      <name val="BFU Suisse"/>
      <family val="2"/>
    </font>
    <font>
      <b/>
      <sz val="14"/>
      <color theme="2"/>
      <name val="BFU Suisse"/>
      <family val="2"/>
    </font>
    <font>
      <b/>
      <sz val="26"/>
      <color theme="1" tint="0.249977111117893"/>
      <name val="BFU Suisse"/>
      <family val="2"/>
    </font>
    <font>
      <sz val="9"/>
      <color theme="1"/>
      <name val="BFU Suisse"/>
      <family val="2"/>
    </font>
    <font>
      <sz val="12"/>
      <color theme="3"/>
      <name val="BFU Suisse"/>
      <family val="2"/>
    </font>
    <font>
      <b/>
      <sz val="24"/>
      <color theme="1"/>
      <name val="BFU Suisse"/>
      <family val="2"/>
    </font>
    <font>
      <b/>
      <sz val="10"/>
      <color theme="0"/>
      <name val="BFU Suisse"/>
      <family val="2"/>
    </font>
    <font>
      <b/>
      <sz val="14"/>
      <color theme="1"/>
      <name val="BFU Suisse"/>
      <family val="2"/>
    </font>
    <font>
      <sz val="9"/>
      <color rgb="FF006100"/>
      <name val="BFU Suisse"/>
      <family val="2"/>
    </font>
    <font>
      <sz val="9"/>
      <color rgb="FF9C0006"/>
      <name val="BFU Suisse"/>
      <family val="2"/>
    </font>
    <font>
      <sz val="12"/>
      <color theme="1"/>
      <name val="BFU Suisse"/>
      <family val="2"/>
    </font>
    <font>
      <b/>
      <sz val="12"/>
      <color rgb="FF009999"/>
      <name val="BFU Suisse"/>
      <family val="2"/>
    </font>
    <font>
      <b/>
      <sz val="12"/>
      <color theme="4" tint="-0.499984740745262"/>
      <name val="BFU Suisse"/>
      <family val="2"/>
    </font>
    <font>
      <b/>
      <sz val="24"/>
      <name val="BFU Suisse"/>
      <family val="2"/>
    </font>
    <font>
      <b/>
      <sz val="12"/>
      <name val="BFU Suisse"/>
      <family val="2"/>
    </font>
    <font>
      <b/>
      <sz val="12"/>
      <color theme="2"/>
      <name val="BFU Suisse"/>
      <family val="2"/>
    </font>
    <font>
      <b/>
      <i/>
      <sz val="12"/>
      <color theme="2"/>
      <name val="BFU Suisse"/>
      <family val="2"/>
    </font>
    <font>
      <sz val="7"/>
      <color rgb="FF242424"/>
      <name val="Consolas"/>
      <family val="3"/>
    </font>
    <font>
      <b/>
      <sz val="12"/>
      <color theme="4"/>
      <name val="BFU Suisse"/>
      <family val="2"/>
    </font>
    <font>
      <sz val="10.5"/>
      <color theme="1"/>
      <name val="Arial"/>
      <family val="2"/>
    </font>
    <font>
      <i/>
      <sz val="9"/>
      <color theme="4"/>
      <name val="BFU Suisse"/>
      <family val="2"/>
    </font>
    <font>
      <i/>
      <sz val="9"/>
      <name val="BFU Suisse"/>
      <family val="2"/>
    </font>
    <font>
      <b/>
      <sz val="26"/>
      <color theme="1"/>
      <name val="BFU Suisse"/>
      <family val="2"/>
    </font>
    <font>
      <sz val="11"/>
      <color theme="1"/>
      <name val="BFU Suisse"/>
      <family val="2"/>
    </font>
    <font>
      <b/>
      <sz val="26"/>
      <color theme="0"/>
      <name val="BFU Suisse"/>
      <family val="2"/>
    </font>
    <font>
      <sz val="14"/>
      <color theme="0"/>
      <name val="BFU Suisse"/>
      <family val="2"/>
    </font>
    <font>
      <i/>
      <sz val="14"/>
      <color theme="0"/>
      <name val="BFU Suisse"/>
      <family val="2"/>
    </font>
    <font>
      <b/>
      <sz val="12"/>
      <color theme="4" tint="-0.249977111117893"/>
      <name val="BFU Suisse"/>
      <family val="2"/>
    </font>
    <font>
      <b/>
      <sz val="11"/>
      <color theme="1"/>
      <name val="BFU Suisse"/>
      <family val="2"/>
    </font>
    <font>
      <sz val="8"/>
      <color theme="8"/>
      <name val="BFU Suisse"/>
      <family val="2"/>
    </font>
    <font>
      <i/>
      <sz val="12"/>
      <color theme="4" tint="-0.499984740745262"/>
      <name val="BFU Suisse"/>
      <family val="2"/>
    </font>
    <font>
      <b/>
      <sz val="11"/>
      <color theme="4"/>
      <name val="BFU Suisse"/>
      <family val="2"/>
    </font>
    <font>
      <sz val="12"/>
      <name val="BFU Suisse"/>
      <family val="2"/>
    </font>
    <font>
      <sz val="12"/>
      <color theme="4" tint="-0.499984740745262"/>
      <name val="BFU Suisse"/>
      <family val="2"/>
    </font>
    <font>
      <sz val="9"/>
      <color theme="1"/>
      <name val="Consolas"/>
      <family val="3"/>
    </font>
    <font>
      <b/>
      <sz val="10"/>
      <color rgb="FF006100"/>
      <name val="BFU Suisse"/>
      <family val="2"/>
    </font>
    <font>
      <b/>
      <sz val="10"/>
      <color rgb="FF9C0006"/>
      <name val="BFU Suisse"/>
      <family val="2"/>
    </font>
    <font>
      <i/>
      <sz val="8"/>
      <color theme="1" tint="0.499984740745262"/>
      <name val="BFU Suisse"/>
      <family val="2"/>
    </font>
    <font>
      <sz val="12"/>
      <color rgb="FFFF0000"/>
      <name val="BFU Suisse"/>
      <family val="2"/>
    </font>
    <font>
      <i/>
      <sz val="9"/>
      <color theme="1" tint="0.499984740745262"/>
      <name val="BFU Suisse"/>
      <family val="2"/>
    </font>
    <font>
      <b/>
      <sz val="16"/>
      <color theme="1"/>
      <name val="BFU Suisse"/>
      <family val="2"/>
    </font>
    <font>
      <sz val="16"/>
      <color theme="1"/>
      <name val="BFU Suisse"/>
      <family val="2"/>
    </font>
    <font>
      <b/>
      <sz val="14"/>
      <color theme="8"/>
      <name val="BFU Suisse"/>
      <family val="2"/>
    </font>
    <font>
      <i/>
      <sz val="9"/>
      <color theme="8"/>
      <name val="BFU Suisse"/>
      <family val="2"/>
    </font>
    <font>
      <sz val="9"/>
      <color rgb="FF00B050"/>
      <name val="BFU Suisse"/>
      <family val="2"/>
    </font>
    <font>
      <u/>
      <sz val="9"/>
      <color theme="10"/>
      <name val="BFU Suisse"/>
      <family val="2"/>
    </font>
    <font>
      <i/>
      <u/>
      <sz val="9"/>
      <color theme="1"/>
      <name val="BFU Suisse"/>
      <family val="2"/>
    </font>
    <font>
      <b/>
      <sz val="16"/>
      <color rgb="FFFF0000"/>
      <name val="BFU Suisse"/>
      <family val="2"/>
    </font>
    <font>
      <i/>
      <u/>
      <sz val="9"/>
      <name val="BFU Suisse"/>
      <family val="2"/>
    </font>
    <font>
      <u/>
      <sz val="9"/>
      <color theme="1"/>
      <name val="BFU Suisse"/>
      <family val="2"/>
    </font>
    <font>
      <sz val="16"/>
      <name val="BFU Suisse"/>
      <family val="2"/>
    </font>
    <font>
      <sz val="24"/>
      <name val="BFU Suisse"/>
      <family val="2"/>
    </font>
    <font>
      <sz val="12"/>
      <color theme="1"/>
      <name val="Aptos"/>
      <family val="2"/>
    </font>
    <font>
      <sz val="9"/>
      <color rgb="FFFF0000"/>
      <name val="BFU Suisse"/>
      <family val="2"/>
    </font>
    <font>
      <i/>
      <sz val="9"/>
      <color rgb="FFFF0000"/>
      <name val="BFU Suisse"/>
      <family val="2"/>
    </font>
    <font>
      <b/>
      <sz val="12"/>
      <color rgb="FFFF0000"/>
      <name val="BFU Suisse"/>
      <family val="2"/>
    </font>
    <font>
      <b/>
      <sz val="26"/>
      <name val="BFU Suisse"/>
      <family val="2"/>
    </font>
    <font>
      <b/>
      <sz val="10"/>
      <color rgb="FFFF0000"/>
      <name val="BFU Suisse"/>
      <family val="2"/>
    </font>
    <font>
      <b/>
      <i/>
      <sz val="9"/>
      <color rgb="FFFF0000"/>
      <name val="BFU Suisse"/>
      <family val="2"/>
    </font>
    <font>
      <b/>
      <i/>
      <sz val="9"/>
      <name val="BFU Suisse"/>
      <family val="2"/>
    </font>
    <font>
      <sz val="12"/>
      <color rgb="FF000000"/>
      <name val="BFU Suisse"/>
      <family val="2"/>
    </font>
    <font>
      <i/>
      <sz val="12"/>
      <name val="BFU Suisse"/>
      <family val="2"/>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rgb="FFFFC000"/>
        <bgColor indexed="64"/>
      </patternFill>
    </fill>
    <fill>
      <patternFill patternType="solid">
        <fgColor theme="3" tint="0.89999084444715716"/>
        <bgColor indexed="64"/>
      </patternFill>
    </fill>
    <fill>
      <patternFill patternType="solid">
        <fgColor theme="4" tint="-0.499984740745262"/>
        <bgColor indexed="64"/>
      </patternFill>
    </fill>
    <fill>
      <patternFill patternType="solid">
        <fgColor theme="7"/>
        <bgColor indexed="64"/>
      </patternFill>
    </fill>
    <fill>
      <patternFill patternType="solid">
        <fgColor theme="1" tint="0.499984740745262"/>
        <bgColor indexed="64"/>
      </patternFill>
    </fill>
    <fill>
      <patternFill patternType="solid">
        <fgColor rgb="FFE2EEFA"/>
        <bgColor indexed="64"/>
      </patternFill>
    </fill>
    <fill>
      <patternFill patternType="solid">
        <fgColor rgb="FFFF00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bgColor indexed="64"/>
      </patternFill>
    </fill>
    <fill>
      <patternFill patternType="solid">
        <fgColor rgb="FFE8E8E8"/>
        <bgColor indexed="64"/>
      </patternFill>
    </fill>
    <fill>
      <patternFill patternType="solid">
        <fgColor rgb="FFEEEEEE"/>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theme="7" tint="0.79998168889431442"/>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rgb="FF00B0F0"/>
        <bgColor indexed="64"/>
      </patternFill>
    </fill>
    <fill>
      <patternFill patternType="solid">
        <fgColor theme="4" tint="0.39997558519241921"/>
        <bgColor indexed="64"/>
      </patternFill>
    </fill>
    <fill>
      <patternFill patternType="solid">
        <fgColor rgb="FF008080"/>
        <bgColor indexed="64"/>
      </patternFill>
    </fill>
    <fill>
      <patternFill patternType="solid">
        <fgColor rgb="FFD5EEEF"/>
        <bgColor indexed="64"/>
      </patternFill>
    </fill>
    <fill>
      <patternFill patternType="solid">
        <fgColor rgb="FFEBF3FB"/>
        <bgColor indexed="64"/>
      </patternFill>
    </fill>
    <fill>
      <patternFill patternType="solid">
        <fgColor rgb="FFDAE9F8"/>
        <bgColor rgb="FF000000"/>
      </patternFill>
    </fill>
  </fills>
  <borders count="9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1" tint="0.499984740745262"/>
      </bottom>
      <diagonal/>
    </border>
    <border>
      <left style="thin">
        <color theme="0"/>
      </left>
      <right style="thin">
        <color theme="0"/>
      </right>
      <top style="thin">
        <color theme="0"/>
      </top>
      <bottom style="thin">
        <color theme="1" tint="0.499984740745262"/>
      </bottom>
      <diagonal/>
    </border>
    <border>
      <left style="thin">
        <color theme="0"/>
      </left>
      <right/>
      <top style="thin">
        <color theme="0"/>
      </top>
      <bottom style="thin">
        <color theme="1" tint="0.499984740745262"/>
      </bottom>
      <diagonal/>
    </border>
    <border>
      <left style="thin">
        <color theme="0"/>
      </left>
      <right/>
      <top/>
      <bottom/>
      <diagonal/>
    </border>
    <border>
      <left/>
      <right style="thin">
        <color theme="0"/>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theme="0" tint="-0.499984740745262"/>
      </left>
      <right style="thin">
        <color theme="0" tint="-0.499984740745262"/>
      </right>
      <top/>
      <bottom style="thin">
        <color theme="1" tint="0.499984740745262"/>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style="thin">
        <color theme="0" tint="-0.499984740745262"/>
      </right>
      <top/>
      <bottom/>
      <diagonal/>
    </border>
    <border>
      <left style="medium">
        <color rgb="FFFF0000"/>
      </left>
      <right style="medium">
        <color rgb="FFFF0000"/>
      </right>
      <top style="medium">
        <color rgb="FFFF0000"/>
      </top>
      <bottom style="medium">
        <color rgb="FFFF0000"/>
      </bottom>
      <diagonal/>
    </border>
    <border>
      <left style="thin">
        <color auto="1"/>
      </left>
      <right/>
      <top style="thin">
        <color auto="1"/>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1" tint="0.499984740745262"/>
      </right>
      <top/>
      <bottom style="thin">
        <color theme="0"/>
      </bottom>
      <diagonal/>
    </border>
    <border>
      <left style="thin">
        <color theme="0"/>
      </left>
      <right style="thin">
        <color theme="1" tint="0.499984740745262"/>
      </right>
      <top style="thin">
        <color theme="0"/>
      </top>
      <bottom style="thin">
        <color theme="1" tint="0.499984740745262"/>
      </bottom>
      <diagonal/>
    </border>
    <border>
      <left style="medium">
        <color theme="0"/>
      </left>
      <right/>
      <top style="thin">
        <color theme="0"/>
      </top>
      <bottom/>
      <diagonal/>
    </border>
    <border>
      <left/>
      <right style="medium">
        <color theme="0"/>
      </right>
      <top style="thin">
        <color theme="0"/>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style="medium">
        <color theme="0"/>
      </left>
      <right/>
      <top style="thin">
        <color theme="1" tint="0.499984740745262"/>
      </top>
      <bottom/>
      <diagonal/>
    </border>
    <border>
      <left style="medium">
        <color theme="0"/>
      </left>
      <right/>
      <top/>
      <bottom style="thin">
        <color theme="1" tint="0.499984740745262"/>
      </bottom>
      <diagonal/>
    </border>
    <border>
      <left style="medium">
        <color theme="0"/>
      </left>
      <right/>
      <top style="thin">
        <color theme="1" tint="0.499984740745262"/>
      </top>
      <bottom style="thin">
        <color theme="0"/>
      </bottom>
      <diagonal/>
    </border>
    <border>
      <left/>
      <right/>
      <top style="thin">
        <color theme="1" tint="0.499984740745262"/>
      </top>
      <bottom style="thin">
        <color theme="0"/>
      </bottom>
      <diagonal/>
    </border>
    <border>
      <left/>
      <right style="medium">
        <color theme="0"/>
      </right>
      <top style="thin">
        <color theme="1" tint="0.499984740745262"/>
      </top>
      <bottom style="thin">
        <color theme="0"/>
      </bottom>
      <diagonal/>
    </border>
    <border>
      <left style="thin">
        <color theme="1" tint="0.499984740745262"/>
      </left>
      <right style="thin">
        <color theme="1" tint="0.499984740745262"/>
      </right>
      <top style="thin">
        <color theme="1" tint="0.499984740745262"/>
      </top>
      <bottom/>
      <diagonal/>
    </border>
    <border>
      <left style="medium">
        <color theme="0"/>
      </left>
      <right/>
      <top/>
      <bottom/>
      <diagonal/>
    </border>
    <border>
      <left/>
      <right style="thin">
        <color theme="0" tint="-0.499984740745262"/>
      </right>
      <top/>
      <bottom style="thin">
        <color theme="1" tint="0.499984740745262"/>
      </bottom>
      <diagonal/>
    </border>
    <border>
      <left style="thin">
        <color theme="0" tint="-0.499984740745262"/>
      </left>
      <right style="thin">
        <color theme="0" tint="-0.499984740745262"/>
      </right>
      <top style="thin">
        <color theme="1" tint="0.499984740745262"/>
      </top>
      <bottom style="thin">
        <color theme="1" tint="0.499984740745262"/>
      </bottom>
      <diagonal/>
    </border>
    <border>
      <left style="thin">
        <color theme="0"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bottom style="thin">
        <color theme="1" tint="0.499984740745262"/>
      </bottom>
      <diagonal/>
    </border>
    <border>
      <left style="thin">
        <color auto="1"/>
      </left>
      <right style="thin">
        <color auto="1"/>
      </right>
      <top/>
      <bottom style="thin">
        <color auto="1"/>
      </bottom>
      <diagonal/>
    </border>
    <border>
      <left style="thin">
        <color theme="1" tint="0.499984740745262"/>
      </left>
      <right style="thin">
        <color theme="0"/>
      </right>
      <top/>
      <bottom/>
      <diagonal/>
    </border>
    <border>
      <left style="thin">
        <color theme="1" tint="0.499984740745262"/>
      </left>
      <right style="thin">
        <color theme="0"/>
      </right>
      <top style="thin">
        <color theme="1" tint="0.499984740745262"/>
      </top>
      <bottom/>
      <diagonal/>
    </border>
    <border>
      <left style="thin">
        <color theme="0"/>
      </left>
      <right style="thin">
        <color theme="0"/>
      </right>
      <top/>
      <bottom/>
      <diagonal/>
    </border>
    <border>
      <left style="thin">
        <color theme="0"/>
      </left>
      <right style="thin">
        <color theme="0"/>
      </right>
      <top/>
      <bottom style="thin">
        <color theme="1" tint="0.499984740745262"/>
      </bottom>
      <diagonal/>
    </border>
    <border>
      <left style="thin">
        <color theme="0"/>
      </left>
      <right style="thin">
        <color theme="1" tint="0.499984740745262"/>
      </right>
      <top/>
      <bottom/>
      <diagonal/>
    </border>
    <border>
      <left style="thin">
        <color theme="0"/>
      </left>
      <right style="thin">
        <color theme="1" tint="0.499984740745262"/>
      </right>
      <top/>
      <bottom style="thin">
        <color theme="1" tint="0.499984740745262"/>
      </bottom>
      <diagonal/>
    </border>
    <border>
      <left style="thin">
        <color theme="1" tint="0.499984740745262"/>
      </left>
      <right/>
      <top style="thin">
        <color indexed="64"/>
      </top>
      <bottom/>
      <diagonal/>
    </border>
    <border>
      <left/>
      <right style="thin">
        <color theme="1" tint="0.499984740745262"/>
      </right>
      <top style="thin">
        <color indexed="64"/>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0"/>
      </left>
      <right/>
      <top style="thin">
        <color theme="1" tint="0.499984740745262"/>
      </top>
      <bottom/>
      <diagonal/>
    </border>
    <border>
      <left style="medium">
        <color indexed="64"/>
      </left>
      <right style="medium">
        <color indexed="64"/>
      </right>
      <top/>
      <bottom style="thin">
        <color theme="1" tint="0.499984740745262"/>
      </bottom>
      <diagonal/>
    </border>
    <border>
      <left style="medium">
        <color indexed="64"/>
      </left>
      <right style="medium">
        <color indexed="64"/>
      </right>
      <top style="medium">
        <color indexed="64"/>
      </top>
      <bottom style="thin">
        <color theme="1" tint="0.499984740745262"/>
      </bottom>
      <diagonal/>
    </border>
    <border>
      <left style="thin">
        <color theme="1" tint="0.499984740745262"/>
      </left>
      <right style="thin">
        <color theme="0"/>
      </right>
      <top style="thin">
        <color theme="0"/>
      </top>
      <bottom style="thin">
        <color theme="1" tint="0.499984740745262"/>
      </bottom>
      <diagonal/>
    </border>
    <border>
      <left style="thin">
        <color theme="0"/>
      </left>
      <right/>
      <top/>
      <bottom style="thin">
        <color indexed="64"/>
      </bottom>
      <diagonal/>
    </border>
    <border>
      <left/>
      <right style="thin">
        <color theme="0"/>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right style="medium">
        <color theme="0"/>
      </right>
      <top/>
      <bottom/>
      <diagonal/>
    </border>
    <border>
      <left style="thin">
        <color theme="1" tint="0.499984740745262"/>
      </left>
      <right/>
      <top/>
      <bottom style="thin">
        <color indexed="64"/>
      </bottom>
      <diagonal/>
    </border>
    <border>
      <left style="thin">
        <color theme="1" tint="0.499984740745262"/>
      </left>
      <right style="thin">
        <color indexed="64"/>
      </right>
      <top style="thin">
        <color theme="1" tint="0.499984740745262"/>
      </top>
      <bottom style="thin">
        <color theme="1" tint="0.499984740745262"/>
      </bottom>
      <diagonal/>
    </border>
    <border>
      <left style="thin">
        <color theme="1" tint="0.499984740745262"/>
      </left>
      <right style="thin">
        <color indexed="64"/>
      </right>
      <top style="thin">
        <color auto="1"/>
      </top>
      <bottom style="thin">
        <color theme="1" tint="0.499984740745262"/>
      </bottom>
      <diagonal/>
    </border>
    <border>
      <left style="thin">
        <color theme="1" tint="0.499984740745262"/>
      </left>
      <right style="thin">
        <color theme="1" tint="0.499984740745262"/>
      </right>
      <top style="thin">
        <color indexed="64"/>
      </top>
      <bottom/>
      <diagonal/>
    </border>
    <border>
      <left style="thin">
        <color theme="1" tint="0.499984740745262"/>
      </left>
      <right style="thin">
        <color theme="1" tint="0.499984740745262"/>
      </right>
      <top/>
      <bottom style="thin">
        <color indexed="64"/>
      </bottom>
      <diagonal/>
    </border>
    <border>
      <left style="thin">
        <color theme="0"/>
      </left>
      <right/>
      <top/>
      <bottom style="thin">
        <color theme="1" tint="0.499984740745262"/>
      </bottom>
      <diagonal/>
    </border>
    <border>
      <left style="thin">
        <color theme="1"/>
      </left>
      <right style="thin">
        <color theme="1"/>
      </right>
      <top style="thin">
        <color theme="1"/>
      </top>
      <bottom style="thin">
        <color theme="1"/>
      </bottom>
      <diagonal/>
    </border>
    <border>
      <left/>
      <right style="thin">
        <color indexed="64"/>
      </right>
      <top/>
      <bottom/>
      <diagonal/>
    </border>
    <border>
      <left/>
      <right style="thin">
        <color theme="0"/>
      </right>
      <top style="thin">
        <color theme="1" tint="0.499984740745262"/>
      </top>
      <bottom/>
      <diagonal/>
    </border>
    <border>
      <left/>
      <right style="thin">
        <color theme="0"/>
      </right>
      <top/>
      <bottom style="thin">
        <color theme="1" tint="0.499984740745262"/>
      </bottom>
      <diagonal/>
    </border>
  </borders>
  <cellStyleXfs count="5">
    <xf numFmtId="0" fontId="0" fillId="0" borderId="0"/>
    <xf numFmtId="9" fontId="33" fillId="0" borderId="0" applyFont="0" applyFill="0" applyBorder="0" applyAlignment="0" applyProtection="0"/>
    <xf numFmtId="0" fontId="38" fillId="24" borderId="0" applyNumberFormat="0" applyBorder="0" applyAlignment="0" applyProtection="0"/>
    <xf numFmtId="0" fontId="39" fillId="25" borderId="0" applyNumberFormat="0" applyBorder="0" applyAlignment="0" applyProtection="0"/>
    <xf numFmtId="0" fontId="75" fillId="0" borderId="0" applyNumberFormat="0" applyFill="0" applyBorder="0" applyAlignment="0" applyProtection="0"/>
  </cellStyleXfs>
  <cellXfs count="559">
    <xf numFmtId="0" fontId="0" fillId="0" borderId="0" xfId="0"/>
    <xf numFmtId="0" fontId="0" fillId="2" borderId="0" xfId="0" applyFill="1"/>
    <xf numFmtId="0" fontId="3" fillId="2" borderId="0" xfId="0" applyFont="1" applyFill="1"/>
    <xf numFmtId="0" fontId="4" fillId="2" borderId="0" xfId="0" applyFont="1" applyFill="1"/>
    <xf numFmtId="0" fontId="8" fillId="2" borderId="0" xfId="0" applyFont="1" applyFill="1"/>
    <xf numFmtId="0" fontId="1" fillId="2" borderId="0" xfId="0" applyFont="1" applyFill="1" applyAlignment="1">
      <alignment horizontal="center" vertical="center"/>
    </xf>
    <xf numFmtId="0" fontId="7" fillId="2" borderId="0" xfId="0" applyFont="1" applyFill="1"/>
    <xf numFmtId="0" fontId="5" fillId="2" borderId="0" xfId="0" applyFont="1" applyFill="1" applyAlignment="1">
      <alignment horizontal="left" vertical="top" wrapText="1"/>
    </xf>
    <xf numFmtId="0" fontId="1" fillId="2" borderId="0" xfId="0" applyFont="1" applyFill="1" applyAlignment="1">
      <alignment wrapText="1"/>
    </xf>
    <xf numFmtId="0" fontId="0" fillId="2" borderId="0" xfId="0" applyFill="1" applyAlignment="1">
      <alignment horizontal="left"/>
    </xf>
    <xf numFmtId="0" fontId="0" fillId="0" borderId="0" xfId="0" applyAlignment="1">
      <alignment horizontal="left"/>
    </xf>
    <xf numFmtId="0" fontId="4" fillId="2" borderId="2" xfId="0" applyFont="1" applyFill="1" applyBorder="1" applyAlignment="1">
      <alignment vertical="center"/>
    </xf>
    <xf numFmtId="0" fontId="0" fillId="0" borderId="0" xfId="0" applyAlignment="1">
      <alignment horizontal="center"/>
    </xf>
    <xf numFmtId="0" fontId="4" fillId="2" borderId="3" xfId="0" applyFont="1" applyFill="1" applyBorder="1" applyAlignment="1">
      <alignment vertical="center"/>
    </xf>
    <xf numFmtId="164" fontId="0" fillId="0" borderId="0" xfId="0" applyNumberFormat="1" applyAlignment="1">
      <alignment horizontal="center"/>
    </xf>
    <xf numFmtId="0" fontId="1" fillId="0" borderId="0" xfId="0" applyFont="1"/>
    <xf numFmtId="0" fontId="0" fillId="0" borderId="27" xfId="0" applyBorder="1"/>
    <xf numFmtId="0" fontId="0" fillId="0" borderId="28" xfId="0" applyBorder="1"/>
    <xf numFmtId="164" fontId="0" fillId="0" borderId="28" xfId="0" applyNumberFormat="1" applyBorder="1" applyAlignment="1">
      <alignment horizontal="center"/>
    </xf>
    <xf numFmtId="0" fontId="0" fillId="0" borderId="27" xfId="0" applyBorder="1" applyAlignment="1">
      <alignment horizontal="center"/>
    </xf>
    <xf numFmtId="0" fontId="0" fillId="0" borderId="31" xfId="0" applyBorder="1"/>
    <xf numFmtId="0" fontId="0" fillId="0" borderId="33" xfId="0" applyBorder="1"/>
    <xf numFmtId="0" fontId="0" fillId="7" borderId="0" xfId="0" applyFill="1"/>
    <xf numFmtId="0" fontId="0" fillId="10" borderId="0" xfId="0" applyFill="1"/>
    <xf numFmtId="0" fontId="5" fillId="2" borderId="0" xfId="0" applyFont="1" applyFill="1" applyAlignment="1">
      <alignment vertical="top" wrapText="1"/>
    </xf>
    <xf numFmtId="49" fontId="0" fillId="0" borderId="0" xfId="0" applyNumberFormat="1"/>
    <xf numFmtId="11" fontId="0" fillId="0" borderId="0" xfId="0" applyNumberFormat="1"/>
    <xf numFmtId="49" fontId="0" fillId="2" borderId="0" xfId="0" applyNumberFormat="1" applyFill="1"/>
    <xf numFmtId="49" fontId="5" fillId="2" borderId="0" xfId="0" applyNumberFormat="1" applyFont="1" applyFill="1" applyAlignment="1">
      <alignment vertical="top" wrapText="1"/>
    </xf>
    <xf numFmtId="49" fontId="5" fillId="2" borderId="0" xfId="0" applyNumberFormat="1" applyFont="1" applyFill="1" applyAlignment="1">
      <alignment horizontal="left" vertical="top" wrapText="1"/>
    </xf>
    <xf numFmtId="49" fontId="4" fillId="2" borderId="3" xfId="0" applyNumberFormat="1" applyFont="1" applyFill="1" applyBorder="1" applyAlignment="1">
      <alignment vertical="center"/>
    </xf>
    <xf numFmtId="0" fontId="3" fillId="0" borderId="0" xfId="0" applyFont="1"/>
    <xf numFmtId="0" fontId="0" fillId="8" borderId="0" xfId="0" applyFill="1"/>
    <xf numFmtId="49" fontId="0" fillId="8" borderId="0" xfId="0" applyNumberFormat="1" applyFill="1"/>
    <xf numFmtId="11" fontId="0" fillId="8" borderId="0" xfId="0" applyNumberFormat="1" applyFill="1"/>
    <xf numFmtId="0" fontId="0" fillId="6" borderId="0" xfId="0" applyFill="1"/>
    <xf numFmtId="49" fontId="0" fillId="6" borderId="0" xfId="0" applyNumberFormat="1" applyFill="1"/>
    <xf numFmtId="11" fontId="0" fillId="6" borderId="0" xfId="0" applyNumberFormat="1" applyFill="1"/>
    <xf numFmtId="0" fontId="35" fillId="0" borderId="0" xfId="0" applyFont="1"/>
    <xf numFmtId="0" fontId="3" fillId="15" borderId="0" xfId="0" applyFont="1" applyFill="1"/>
    <xf numFmtId="0" fontId="36" fillId="16" borderId="0" xfId="0" applyFont="1" applyFill="1"/>
    <xf numFmtId="0" fontId="0" fillId="12" borderId="0" xfId="0" applyFill="1"/>
    <xf numFmtId="49" fontId="0" fillId="12" borderId="0" xfId="0" applyNumberFormat="1" applyFill="1"/>
    <xf numFmtId="11" fontId="0" fillId="12" borderId="0" xfId="0" applyNumberFormat="1" applyFill="1"/>
    <xf numFmtId="0" fontId="0" fillId="17" borderId="0" xfId="0" applyFill="1"/>
    <xf numFmtId="49" fontId="0" fillId="17" borderId="0" xfId="0" applyNumberFormat="1" applyFill="1"/>
    <xf numFmtId="11" fontId="0" fillId="17" borderId="0" xfId="0" applyNumberFormat="1" applyFill="1"/>
    <xf numFmtId="0" fontId="0" fillId="18" borderId="0" xfId="0" applyFill="1"/>
    <xf numFmtId="49" fontId="0" fillId="18" borderId="0" xfId="0" applyNumberFormat="1" applyFill="1"/>
    <xf numFmtId="11" fontId="0" fillId="18" borderId="0" xfId="0" applyNumberFormat="1" applyFill="1"/>
    <xf numFmtId="0" fontId="0" fillId="19" borderId="0" xfId="0" applyFill="1"/>
    <xf numFmtId="49" fontId="0" fillId="19" borderId="0" xfId="0" applyNumberFormat="1" applyFill="1"/>
    <xf numFmtId="11" fontId="0" fillId="19" borderId="0" xfId="0" applyNumberFormat="1" applyFill="1"/>
    <xf numFmtId="0" fontId="0" fillId="21" borderId="0" xfId="0" applyFill="1"/>
    <xf numFmtId="49" fontId="0" fillId="21" borderId="0" xfId="0" applyNumberFormat="1" applyFill="1"/>
    <xf numFmtId="11" fontId="0" fillId="21" borderId="0" xfId="0" applyNumberFormat="1" applyFill="1"/>
    <xf numFmtId="0" fontId="37" fillId="0" borderId="35" xfId="0" applyFont="1" applyBorder="1"/>
    <xf numFmtId="0" fontId="0" fillId="14" borderId="0" xfId="0" applyFill="1"/>
    <xf numFmtId="49" fontId="0" fillId="14" borderId="0" xfId="0" applyNumberFormat="1" applyFill="1"/>
    <xf numFmtId="11" fontId="0" fillId="14" borderId="0" xfId="0" applyNumberFormat="1" applyFill="1"/>
    <xf numFmtId="49" fontId="0" fillId="7" borderId="0" xfId="0" applyNumberFormat="1" applyFill="1"/>
    <xf numFmtId="11" fontId="0" fillId="7" borderId="0" xfId="0" applyNumberFormat="1" applyFill="1"/>
    <xf numFmtId="0" fontId="0" fillId="23" borderId="0" xfId="0" applyFill="1"/>
    <xf numFmtId="49" fontId="0" fillId="23" borderId="0" xfId="0" applyNumberFormat="1" applyFill="1"/>
    <xf numFmtId="11" fontId="0" fillId="23" borderId="0" xfId="0" applyNumberFormat="1" applyFill="1"/>
    <xf numFmtId="0" fontId="0" fillId="8" borderId="0" xfId="0" applyFill="1" applyAlignment="1">
      <alignment horizontal="center"/>
    </xf>
    <xf numFmtId="0" fontId="0" fillId="0" borderId="0" xfId="0" quotePrefix="1"/>
    <xf numFmtId="2" fontId="0" fillId="6" borderId="0" xfId="0" applyNumberFormat="1" applyFill="1" applyAlignment="1">
      <alignment horizontal="center"/>
    </xf>
    <xf numFmtId="0" fontId="0" fillId="0" borderId="0" xfId="0" applyAlignment="1">
      <alignment horizontal="right"/>
    </xf>
    <xf numFmtId="0" fontId="0" fillId="0" borderId="0" xfId="0" applyAlignment="1">
      <alignment horizontal="center" vertical="center"/>
    </xf>
    <xf numFmtId="2" fontId="0" fillId="0" borderId="27" xfId="0" applyNumberFormat="1" applyBorder="1" applyAlignment="1">
      <alignment horizontal="left"/>
    </xf>
    <xf numFmtId="0" fontId="0" fillId="0" borderId="37" xfId="0" applyBorder="1"/>
    <xf numFmtId="0" fontId="0" fillId="26" borderId="0" xfId="0" applyFill="1"/>
    <xf numFmtId="0" fontId="0" fillId="0" borderId="32" xfId="0" applyBorder="1"/>
    <xf numFmtId="2" fontId="0" fillId="6" borderId="27" xfId="0" applyNumberFormat="1" applyFill="1" applyBorder="1" applyAlignment="1">
      <alignment horizontal="center"/>
    </xf>
    <xf numFmtId="2" fontId="0" fillId="26" borderId="27" xfId="0" applyNumberFormat="1" applyFill="1" applyBorder="1" applyAlignment="1">
      <alignment horizontal="center"/>
    </xf>
    <xf numFmtId="0" fontId="0" fillId="0" borderId="38" xfId="0" applyBorder="1" applyAlignment="1">
      <alignment horizontal="center"/>
    </xf>
    <xf numFmtId="2" fontId="0" fillId="13" borderId="27" xfId="0" applyNumberFormat="1" applyFill="1" applyBorder="1" applyAlignment="1">
      <alignment horizontal="center"/>
    </xf>
    <xf numFmtId="2" fontId="0" fillId="23" borderId="0" xfId="0" applyNumberFormat="1" applyFill="1" applyAlignment="1">
      <alignment horizontal="right"/>
    </xf>
    <xf numFmtId="0" fontId="0" fillId="23"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21" borderId="0" xfId="0" applyFill="1" applyAlignment="1">
      <alignment horizontal="center"/>
    </xf>
    <xf numFmtId="2" fontId="0" fillId="14" borderId="0" xfId="0" applyNumberFormat="1" applyFill="1" applyAlignment="1">
      <alignment horizontal="right"/>
    </xf>
    <xf numFmtId="0" fontId="0" fillId="14" borderId="0" xfId="0" applyFill="1" applyAlignment="1">
      <alignment horizontal="center"/>
    </xf>
    <xf numFmtId="0" fontId="0" fillId="19" borderId="0" xfId="0" applyFill="1" applyAlignment="1">
      <alignment horizontal="center"/>
    </xf>
    <xf numFmtId="0" fontId="38" fillId="0" borderId="0" xfId="2" applyFill="1" applyAlignment="1">
      <alignment horizontal="center"/>
    </xf>
    <xf numFmtId="0" fontId="39" fillId="0" borderId="0" xfId="3" applyFill="1" applyAlignment="1">
      <alignment horizontal="center"/>
    </xf>
    <xf numFmtId="0" fontId="38" fillId="0" borderId="0" xfId="2" applyFill="1" applyAlignment="1">
      <alignment horizontal="center" vertical="center"/>
    </xf>
    <xf numFmtId="0" fontId="39" fillId="0" borderId="0" xfId="3" applyFill="1" applyAlignment="1">
      <alignment horizontal="center" vertical="center"/>
    </xf>
    <xf numFmtId="2" fontId="40" fillId="4" borderId="9" xfId="0" applyNumberFormat="1" applyFont="1" applyFill="1" applyBorder="1" applyAlignment="1">
      <alignment horizontal="center" vertical="center"/>
    </xf>
    <xf numFmtId="165" fontId="40" fillId="4" borderId="9" xfId="1" applyNumberFormat="1" applyFont="1" applyFill="1" applyBorder="1" applyAlignment="1">
      <alignment horizontal="center" vertical="center" wrapText="1"/>
    </xf>
    <xf numFmtId="0" fontId="40" fillId="2" borderId="0" xfId="0" applyFont="1" applyFill="1"/>
    <xf numFmtId="0" fontId="40" fillId="0" borderId="0" xfId="0" applyFont="1"/>
    <xf numFmtId="2" fontId="0" fillId="0" borderId="0" xfId="0" applyNumberFormat="1" applyAlignment="1">
      <alignment horizontal="left"/>
    </xf>
    <xf numFmtId="9" fontId="39" fillId="0" borderId="0" xfId="3" applyNumberFormat="1" applyFill="1" applyAlignment="1">
      <alignment horizontal="center"/>
    </xf>
    <xf numFmtId="9" fontId="38" fillId="0" borderId="0" xfId="2" applyNumberFormat="1" applyFill="1" applyAlignment="1">
      <alignment horizontal="center"/>
    </xf>
    <xf numFmtId="164" fontId="0" fillId="0" borderId="41" xfId="0" applyNumberFormat="1" applyBorder="1" applyAlignment="1">
      <alignment horizontal="center"/>
    </xf>
    <xf numFmtId="0" fontId="0" fillId="0" borderId="41" xfId="0" applyBorder="1"/>
    <xf numFmtId="2" fontId="0" fillId="13" borderId="41" xfId="0" applyNumberFormat="1" applyFill="1" applyBorder="1" applyAlignment="1">
      <alignment horizontal="center"/>
    </xf>
    <xf numFmtId="0" fontId="0" fillId="0" borderId="29" xfId="0" applyBorder="1" applyAlignment="1">
      <alignment horizontal="center"/>
    </xf>
    <xf numFmtId="2" fontId="0" fillId="13" borderId="30" xfId="0" applyNumberFormat="1" applyFill="1" applyBorder="1" applyAlignment="1">
      <alignment horizontal="center"/>
    </xf>
    <xf numFmtId="0" fontId="0" fillId="0" borderId="42" xfId="0" applyBorder="1"/>
    <xf numFmtId="2" fontId="0" fillId="13" borderId="0" xfId="0" applyNumberFormat="1" applyFill="1" applyAlignment="1">
      <alignment horizontal="center"/>
    </xf>
    <xf numFmtId="0" fontId="0" fillId="0" borderId="30" xfId="0" applyBorder="1"/>
    <xf numFmtId="2" fontId="0" fillId="13" borderId="37" xfId="0" applyNumberFormat="1" applyFill="1" applyBorder="1" applyAlignment="1">
      <alignment horizontal="center"/>
    </xf>
    <xf numFmtId="2" fontId="0" fillId="6" borderId="41" xfId="0" applyNumberFormat="1" applyFill="1" applyBorder="1" applyAlignment="1">
      <alignment horizontal="center"/>
    </xf>
    <xf numFmtId="2" fontId="0" fillId="26" borderId="41" xfId="0" applyNumberFormat="1" applyFill="1"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2" fontId="0" fillId="27" borderId="41" xfId="0" applyNumberFormat="1" applyFill="1" applyBorder="1" applyAlignment="1">
      <alignment horizontal="center"/>
    </xf>
    <xf numFmtId="2" fontId="0" fillId="0" borderId="41" xfId="0" applyNumberFormat="1" applyBorder="1" applyAlignment="1">
      <alignment horizontal="center"/>
    </xf>
    <xf numFmtId="2" fontId="0" fillId="0" borderId="0" xfId="0" applyNumberFormat="1" applyAlignment="1">
      <alignment horizontal="center"/>
    </xf>
    <xf numFmtId="0" fontId="0" fillId="0" borderId="28" xfId="0" applyBorder="1" applyAlignment="1">
      <alignment horizontal="center"/>
    </xf>
    <xf numFmtId="164" fontId="0" fillId="7" borderId="0" xfId="0" applyNumberFormat="1" applyFill="1" applyAlignment="1">
      <alignment horizontal="center"/>
    </xf>
    <xf numFmtId="164" fontId="0" fillId="10" borderId="41" xfId="0" applyNumberFormat="1" applyFill="1" applyBorder="1" applyAlignment="1">
      <alignment horizontal="center"/>
    </xf>
    <xf numFmtId="164" fontId="0" fillId="7" borderId="41" xfId="0" applyNumberFormat="1" applyFill="1" applyBorder="1" applyAlignment="1">
      <alignment horizontal="center"/>
    </xf>
    <xf numFmtId="0" fontId="36" fillId="16" borderId="0" xfId="0" applyFont="1" applyFill="1" applyAlignment="1">
      <alignment wrapText="1"/>
    </xf>
    <xf numFmtId="0" fontId="36" fillId="16" borderId="0" xfId="0" applyFont="1" applyFill="1" applyAlignment="1">
      <alignment horizontal="center"/>
    </xf>
    <xf numFmtId="0" fontId="3" fillId="15" borderId="0" xfId="0" applyFont="1" applyFill="1" applyAlignment="1">
      <alignment wrapText="1"/>
    </xf>
    <xf numFmtId="0" fontId="36" fillId="16" borderId="0" xfId="0" applyFont="1" applyFill="1" applyAlignment="1">
      <alignment horizontal="center" wrapText="1"/>
    </xf>
    <xf numFmtId="2" fontId="0" fillId="28" borderId="0" xfId="0" applyNumberFormat="1" applyFill="1" applyAlignment="1">
      <alignment horizontal="right"/>
    </xf>
    <xf numFmtId="0" fontId="0" fillId="28" borderId="0" xfId="0" applyFill="1"/>
    <xf numFmtId="164" fontId="0" fillId="7" borderId="28" xfId="0" applyNumberFormat="1" applyFill="1" applyBorder="1" applyAlignment="1">
      <alignment horizontal="center"/>
    </xf>
    <xf numFmtId="2" fontId="0" fillId="7" borderId="0" xfId="0" applyNumberFormat="1" applyFill="1" applyAlignment="1">
      <alignment horizontal="center"/>
    </xf>
    <xf numFmtId="2" fontId="0" fillId="7" borderId="41" xfId="0" applyNumberFormat="1" applyFill="1" applyBorder="1" applyAlignment="1">
      <alignment horizontal="center"/>
    </xf>
    <xf numFmtId="0" fontId="0" fillId="29" borderId="0" xfId="0" applyFill="1"/>
    <xf numFmtId="49" fontId="0" fillId="29" borderId="0" xfId="0" applyNumberFormat="1" applyFill="1"/>
    <xf numFmtId="11" fontId="0" fillId="29" borderId="0" xfId="0" applyNumberFormat="1" applyFill="1"/>
    <xf numFmtId="0" fontId="0" fillId="29" borderId="0" xfId="0" applyFill="1" applyAlignment="1">
      <alignment horizontal="center"/>
    </xf>
    <xf numFmtId="0" fontId="38" fillId="0" borderId="0" xfId="2" applyNumberFormat="1" applyFill="1" applyAlignment="1">
      <alignment vertical="center"/>
    </xf>
    <xf numFmtId="0" fontId="16" fillId="8" borderId="36" xfId="0" applyFont="1" applyFill="1" applyBorder="1" applyAlignment="1">
      <alignment horizontal="center" vertical="center"/>
    </xf>
    <xf numFmtId="0" fontId="16" fillId="8" borderId="47" xfId="0" applyFont="1" applyFill="1" applyBorder="1" applyAlignment="1">
      <alignment horizontal="center" vertical="center"/>
    </xf>
    <xf numFmtId="0" fontId="16" fillId="8" borderId="43" xfId="0" applyFont="1" applyFill="1" applyBorder="1" applyAlignment="1">
      <alignment horizontal="center" vertical="center"/>
    </xf>
    <xf numFmtId="0" fontId="16" fillId="8" borderId="44" xfId="0" applyFont="1" applyFill="1" applyBorder="1" applyAlignment="1">
      <alignment horizontal="center" vertical="center"/>
    </xf>
    <xf numFmtId="0" fontId="16" fillId="8" borderId="45" xfId="0" applyFont="1" applyFill="1" applyBorder="1" applyAlignment="1">
      <alignment horizontal="center" vertical="center"/>
    </xf>
    <xf numFmtId="0" fontId="16" fillId="8" borderId="46" xfId="0" applyFont="1" applyFill="1" applyBorder="1" applyAlignment="1">
      <alignment horizontal="center" vertical="center"/>
    </xf>
    <xf numFmtId="0" fontId="43" fillId="0" borderId="0" xfId="0" applyFont="1"/>
    <xf numFmtId="0" fontId="16" fillId="0" borderId="0" xfId="0" applyFont="1"/>
    <xf numFmtId="0" fontId="26" fillId="15" borderId="0" xfId="0" applyFont="1" applyFill="1" applyAlignment="1">
      <alignment wrapText="1"/>
    </xf>
    <xf numFmtId="0" fontId="16" fillId="6" borderId="0" xfId="0" applyFont="1" applyFill="1"/>
    <xf numFmtId="0" fontId="16" fillId="8" borderId="0" xfId="0" applyFont="1" applyFill="1"/>
    <xf numFmtId="0" fontId="16" fillId="14" borderId="36" xfId="0" applyFont="1" applyFill="1" applyBorder="1" applyAlignment="1">
      <alignment horizontal="center" vertical="center"/>
    </xf>
    <xf numFmtId="0" fontId="16" fillId="14" borderId="47" xfId="0" applyFont="1" applyFill="1" applyBorder="1" applyAlignment="1">
      <alignment horizontal="center" vertical="center"/>
    </xf>
    <xf numFmtId="0" fontId="16" fillId="14" borderId="43" xfId="0" applyFont="1" applyFill="1" applyBorder="1" applyAlignment="1">
      <alignment horizontal="center" vertical="center"/>
    </xf>
    <xf numFmtId="0" fontId="16" fillId="14" borderId="44" xfId="0" applyFont="1" applyFill="1" applyBorder="1" applyAlignment="1">
      <alignment horizontal="center" vertical="center"/>
    </xf>
    <xf numFmtId="0" fontId="16" fillId="14" borderId="45" xfId="0" applyFont="1" applyFill="1" applyBorder="1" applyAlignment="1">
      <alignment horizontal="center" vertical="center"/>
    </xf>
    <xf numFmtId="0" fontId="16" fillId="14" borderId="46" xfId="0" applyFont="1" applyFill="1" applyBorder="1" applyAlignment="1">
      <alignment horizontal="center" vertical="center"/>
    </xf>
    <xf numFmtId="0" fontId="16" fillId="6" borderId="36" xfId="0" applyFont="1" applyFill="1" applyBorder="1" applyAlignment="1">
      <alignment horizontal="center" vertical="center"/>
    </xf>
    <xf numFmtId="0" fontId="16" fillId="6" borderId="47" xfId="0" applyFont="1" applyFill="1" applyBorder="1" applyAlignment="1">
      <alignment horizontal="center" vertical="center"/>
    </xf>
    <xf numFmtId="0" fontId="16" fillId="6" borderId="43" xfId="0" applyFont="1" applyFill="1" applyBorder="1" applyAlignment="1">
      <alignment horizontal="center" vertical="center"/>
    </xf>
    <xf numFmtId="0" fontId="16" fillId="6" borderId="44" xfId="0" applyFont="1" applyFill="1" applyBorder="1" applyAlignment="1">
      <alignment horizontal="center" vertical="center"/>
    </xf>
    <xf numFmtId="0" fontId="16" fillId="6" borderId="45" xfId="0" applyFont="1" applyFill="1" applyBorder="1" applyAlignment="1">
      <alignment horizontal="center" vertical="center"/>
    </xf>
    <xf numFmtId="0" fontId="16" fillId="6" borderId="46" xfId="0" applyFont="1" applyFill="1" applyBorder="1" applyAlignment="1">
      <alignment horizontal="center" vertical="center"/>
    </xf>
    <xf numFmtId="0" fontId="16" fillId="7" borderId="36" xfId="0" applyFont="1" applyFill="1" applyBorder="1" applyAlignment="1">
      <alignment horizontal="center" vertical="center"/>
    </xf>
    <xf numFmtId="0" fontId="16" fillId="7" borderId="47" xfId="0" applyFont="1" applyFill="1" applyBorder="1" applyAlignment="1">
      <alignment horizontal="center" vertical="center"/>
    </xf>
    <xf numFmtId="0" fontId="16" fillId="7" borderId="43" xfId="0" applyFont="1" applyFill="1" applyBorder="1" applyAlignment="1">
      <alignment horizontal="center" vertical="center"/>
    </xf>
    <xf numFmtId="0" fontId="16" fillId="7" borderId="44" xfId="0" applyFont="1" applyFill="1" applyBorder="1" applyAlignment="1">
      <alignment horizontal="center" vertical="center"/>
    </xf>
    <xf numFmtId="0" fontId="16" fillId="7" borderId="45" xfId="0" applyFont="1" applyFill="1" applyBorder="1" applyAlignment="1">
      <alignment horizontal="center" vertical="center"/>
    </xf>
    <xf numFmtId="0" fontId="16" fillId="7" borderId="46" xfId="0" applyFont="1" applyFill="1" applyBorder="1" applyAlignment="1">
      <alignment horizontal="center" vertical="center"/>
    </xf>
    <xf numFmtId="0" fontId="16" fillId="19" borderId="36" xfId="0" applyFont="1" applyFill="1" applyBorder="1" applyAlignment="1">
      <alignment horizontal="center" vertical="center"/>
    </xf>
    <xf numFmtId="0" fontId="16" fillId="19" borderId="47" xfId="0" applyFont="1" applyFill="1" applyBorder="1" applyAlignment="1">
      <alignment horizontal="center" vertical="center"/>
    </xf>
    <xf numFmtId="0" fontId="16" fillId="19" borderId="43" xfId="0" applyFont="1" applyFill="1" applyBorder="1" applyAlignment="1">
      <alignment horizontal="center" vertical="center"/>
    </xf>
    <xf numFmtId="0" fontId="16" fillId="19" borderId="44" xfId="0" applyFont="1" applyFill="1" applyBorder="1" applyAlignment="1">
      <alignment horizontal="center" vertical="center"/>
    </xf>
    <xf numFmtId="0" fontId="16" fillId="19" borderId="45" xfId="0" applyFont="1" applyFill="1" applyBorder="1" applyAlignment="1">
      <alignment horizontal="center" vertical="center"/>
    </xf>
    <xf numFmtId="0" fontId="16" fillId="19" borderId="46" xfId="0" applyFont="1" applyFill="1" applyBorder="1" applyAlignment="1">
      <alignment horizontal="center" vertical="center"/>
    </xf>
    <xf numFmtId="0" fontId="16" fillId="21" borderId="36" xfId="0" applyFont="1" applyFill="1" applyBorder="1" applyAlignment="1">
      <alignment horizontal="center" vertical="center"/>
    </xf>
    <xf numFmtId="0" fontId="16" fillId="21" borderId="47" xfId="0" applyFont="1" applyFill="1" applyBorder="1" applyAlignment="1">
      <alignment horizontal="center" vertical="center"/>
    </xf>
    <xf numFmtId="0" fontId="16" fillId="21" borderId="43" xfId="0" applyFont="1" applyFill="1" applyBorder="1" applyAlignment="1">
      <alignment horizontal="center" vertical="center"/>
    </xf>
    <xf numFmtId="0" fontId="16" fillId="21" borderId="44" xfId="0" applyFont="1" applyFill="1" applyBorder="1" applyAlignment="1">
      <alignment horizontal="center" vertical="center"/>
    </xf>
    <xf numFmtId="0" fontId="16" fillId="21" borderId="45" xfId="0" applyFont="1" applyFill="1" applyBorder="1" applyAlignment="1">
      <alignment horizontal="center" vertical="center"/>
    </xf>
    <xf numFmtId="0" fontId="16" fillId="21" borderId="46" xfId="0" applyFont="1" applyFill="1" applyBorder="1" applyAlignment="1">
      <alignment horizontal="center" vertical="center"/>
    </xf>
    <xf numFmtId="0" fontId="0" fillId="30" borderId="0" xfId="0" applyFill="1"/>
    <xf numFmtId="49" fontId="0" fillId="30" borderId="0" xfId="0" applyNumberFormat="1" applyFill="1"/>
    <xf numFmtId="0" fontId="16" fillId="30" borderId="36" xfId="0" applyFont="1" applyFill="1" applyBorder="1" applyAlignment="1">
      <alignment horizontal="center" vertical="center"/>
    </xf>
    <xf numFmtId="0" fontId="16" fillId="30" borderId="47" xfId="0" applyFont="1" applyFill="1" applyBorder="1" applyAlignment="1">
      <alignment horizontal="center" vertical="center"/>
    </xf>
    <xf numFmtId="0" fontId="16" fillId="30" borderId="43" xfId="0" applyFont="1" applyFill="1" applyBorder="1" applyAlignment="1">
      <alignment horizontal="center" vertical="center"/>
    </xf>
    <xf numFmtId="0" fontId="16" fillId="30" borderId="44" xfId="0" applyFont="1" applyFill="1" applyBorder="1" applyAlignment="1">
      <alignment horizontal="center" vertical="center"/>
    </xf>
    <xf numFmtId="0" fontId="16" fillId="30" borderId="45" xfId="0" applyFont="1" applyFill="1" applyBorder="1" applyAlignment="1">
      <alignment horizontal="center" vertical="center"/>
    </xf>
    <xf numFmtId="0" fontId="16" fillId="30" borderId="46" xfId="0" applyFont="1" applyFill="1" applyBorder="1" applyAlignment="1">
      <alignment horizontal="center" vertical="center"/>
    </xf>
    <xf numFmtId="0" fontId="16" fillId="23" borderId="36" xfId="0" applyFont="1" applyFill="1" applyBorder="1" applyAlignment="1">
      <alignment horizontal="center" vertical="center"/>
    </xf>
    <xf numFmtId="0" fontId="16" fillId="23" borderId="47" xfId="0" applyFont="1" applyFill="1" applyBorder="1" applyAlignment="1">
      <alignment horizontal="center" vertical="center"/>
    </xf>
    <xf numFmtId="0" fontId="16" fillId="23" borderId="43" xfId="0" applyFont="1" applyFill="1" applyBorder="1" applyAlignment="1">
      <alignment horizontal="center" vertical="center"/>
    </xf>
    <xf numFmtId="0" fontId="16" fillId="23" borderId="44" xfId="0" applyFont="1" applyFill="1" applyBorder="1" applyAlignment="1">
      <alignment horizontal="center" vertical="center"/>
    </xf>
    <xf numFmtId="0" fontId="16" fillId="23" borderId="45" xfId="0" applyFont="1" applyFill="1" applyBorder="1" applyAlignment="1">
      <alignment horizontal="center" vertical="center"/>
    </xf>
    <xf numFmtId="0" fontId="16" fillId="23" borderId="46" xfId="0" applyFont="1" applyFill="1" applyBorder="1" applyAlignment="1">
      <alignment horizontal="center" vertical="center"/>
    </xf>
    <xf numFmtId="0" fontId="45" fillId="11" borderId="22" xfId="0" applyFont="1" applyFill="1" applyBorder="1" applyAlignment="1">
      <alignment horizontal="center" vertical="center" wrapText="1"/>
    </xf>
    <xf numFmtId="0" fontId="48" fillId="2" borderId="10" xfId="0" applyFont="1" applyFill="1" applyBorder="1" applyAlignment="1">
      <alignment vertical="center" wrapText="1"/>
    </xf>
    <xf numFmtId="49" fontId="47" fillId="0" borderId="0" xfId="0" applyNumberFormat="1" applyFont="1"/>
    <xf numFmtId="0" fontId="40" fillId="2" borderId="0" xfId="0" applyFont="1" applyFill="1" applyAlignment="1">
      <alignment horizontal="center" vertical="center"/>
    </xf>
    <xf numFmtId="49" fontId="0" fillId="10" borderId="0" xfId="0" applyNumberFormat="1" applyFill="1"/>
    <xf numFmtId="11" fontId="0" fillId="10" borderId="0" xfId="0" applyNumberFormat="1" applyFill="1"/>
    <xf numFmtId="0" fontId="40" fillId="4" borderId="9" xfId="1" applyNumberFormat="1" applyFont="1" applyFill="1" applyBorder="1" applyAlignment="1">
      <alignment horizontal="center" vertical="center" wrapText="1"/>
    </xf>
    <xf numFmtId="165" fontId="0" fillId="0" borderId="0" xfId="1" applyNumberFormat="1" applyFont="1"/>
    <xf numFmtId="165" fontId="0" fillId="12" borderId="0" xfId="1" applyNumberFormat="1" applyFont="1" applyFill="1"/>
    <xf numFmtId="165" fontId="0" fillId="18" borderId="0" xfId="1" applyNumberFormat="1" applyFont="1" applyFill="1"/>
    <xf numFmtId="165" fontId="0" fillId="19" borderId="0" xfId="1" applyNumberFormat="1" applyFont="1" applyFill="1"/>
    <xf numFmtId="165" fontId="0" fillId="7" borderId="0" xfId="1" applyNumberFormat="1" applyFont="1" applyFill="1"/>
    <xf numFmtId="165" fontId="0" fillId="21" borderId="0" xfId="1" applyNumberFormat="1" applyFont="1" applyFill="1"/>
    <xf numFmtId="165" fontId="0" fillId="23" borderId="0" xfId="1" applyNumberFormat="1" applyFont="1" applyFill="1"/>
    <xf numFmtId="165" fontId="0" fillId="10" borderId="0" xfId="1" applyNumberFormat="1" applyFont="1" applyFill="1"/>
    <xf numFmtId="10" fontId="0" fillId="0" borderId="0" xfId="1" applyNumberFormat="1" applyFont="1"/>
    <xf numFmtId="0" fontId="49" fillId="0" borderId="0" xfId="0" applyFont="1" applyAlignment="1">
      <alignment vertical="center"/>
    </xf>
    <xf numFmtId="2" fontId="0" fillId="0" borderId="0" xfId="0" applyNumberFormat="1"/>
    <xf numFmtId="165" fontId="0" fillId="13" borderId="41" xfId="0" applyNumberFormat="1" applyFill="1" applyBorder="1" applyAlignment="1">
      <alignment horizontal="center"/>
    </xf>
    <xf numFmtId="2" fontId="40" fillId="4" borderId="9" xfId="1" applyNumberFormat="1" applyFont="1" applyFill="1" applyBorder="1" applyAlignment="1">
      <alignment horizontal="center" vertical="center" wrapText="1"/>
    </xf>
    <xf numFmtId="0" fontId="21" fillId="5" borderId="26" xfId="0" applyFont="1" applyFill="1" applyBorder="1" applyAlignment="1">
      <alignment horizontal="center" vertical="center"/>
    </xf>
    <xf numFmtId="0" fontId="42" fillId="8" borderId="22" xfId="0" applyFont="1" applyFill="1" applyBorder="1" applyAlignment="1">
      <alignment horizontal="center" vertical="center" wrapText="1"/>
    </xf>
    <xf numFmtId="49" fontId="42" fillId="8" borderId="22" xfId="0" applyNumberFormat="1" applyFont="1" applyFill="1" applyBorder="1" applyAlignment="1">
      <alignment horizontal="center" vertical="center" wrapText="1"/>
    </xf>
    <xf numFmtId="0" fontId="44" fillId="8" borderId="22" xfId="0" applyFont="1" applyFill="1" applyBorder="1" applyAlignment="1">
      <alignment horizontal="center" vertical="center" wrapText="1"/>
    </xf>
    <xf numFmtId="0" fontId="42" fillId="8" borderId="22" xfId="0" applyFont="1" applyFill="1" applyBorder="1" applyAlignment="1">
      <alignment horizontal="center" vertical="center"/>
    </xf>
    <xf numFmtId="0" fontId="28" fillId="32" borderId="22" xfId="0" applyFont="1" applyFill="1" applyBorder="1" applyAlignment="1">
      <alignment horizontal="center" vertical="center" wrapText="1"/>
    </xf>
    <xf numFmtId="0" fontId="28" fillId="32" borderId="34" xfId="0" applyFont="1" applyFill="1" applyBorder="1" applyAlignment="1">
      <alignment horizontal="center" vertical="center" wrapText="1"/>
    </xf>
    <xf numFmtId="0" fontId="40" fillId="33" borderId="0" xfId="0" applyFont="1" applyFill="1" applyAlignment="1">
      <alignment horizontal="center" vertical="center"/>
    </xf>
    <xf numFmtId="0" fontId="40" fillId="33" borderId="20" xfId="0" applyFont="1" applyFill="1" applyBorder="1" applyAlignment="1">
      <alignment horizontal="center" vertical="center"/>
    </xf>
    <xf numFmtId="0" fontId="40" fillId="8" borderId="9" xfId="0" applyFont="1" applyFill="1" applyBorder="1" applyAlignment="1">
      <alignment horizontal="center" vertical="center" wrapText="1"/>
    </xf>
    <xf numFmtId="0" fontId="6" fillId="2" borderId="0" xfId="0" applyFont="1" applyFill="1" applyAlignment="1">
      <alignment horizontal="left"/>
    </xf>
    <xf numFmtId="0" fontId="4" fillId="2" borderId="0" xfId="0" applyFont="1" applyFill="1" applyAlignment="1">
      <alignment vertical="center"/>
    </xf>
    <xf numFmtId="0" fontId="32" fillId="2" borderId="0" xfId="0" applyFont="1" applyFill="1" applyAlignment="1">
      <alignment vertical="center" wrapText="1"/>
    </xf>
    <xf numFmtId="0" fontId="31" fillId="2" borderId="0" xfId="0" applyFont="1" applyFill="1" applyAlignment="1">
      <alignment vertical="center" wrapText="1"/>
    </xf>
    <xf numFmtId="0" fontId="42" fillId="8" borderId="61" xfId="0" applyFont="1" applyFill="1" applyBorder="1" applyAlignment="1">
      <alignment horizontal="center" vertical="center" wrapText="1"/>
    </xf>
    <xf numFmtId="0" fontId="5" fillId="2" borderId="21" xfId="0" applyFont="1" applyFill="1" applyBorder="1" applyAlignment="1">
      <alignment horizontal="left" vertical="top" wrapText="1"/>
    </xf>
    <xf numFmtId="0" fontId="0" fillId="2" borderId="21" xfId="0" applyFill="1" applyBorder="1"/>
    <xf numFmtId="0" fontId="41" fillId="3" borderId="1" xfId="0" applyFont="1" applyFill="1" applyBorder="1" applyAlignment="1" applyProtection="1">
      <alignment horizontal="center" vertical="center"/>
      <protection locked="0"/>
    </xf>
    <xf numFmtId="49" fontId="41" fillId="3" borderId="1" xfId="0" applyNumberFormat="1" applyFont="1" applyFill="1" applyBorder="1" applyAlignment="1" applyProtection="1">
      <alignment horizontal="center" vertical="center"/>
      <protection locked="0"/>
    </xf>
    <xf numFmtId="0" fontId="41" fillId="3" borderId="9" xfId="0" applyFont="1" applyFill="1" applyBorder="1" applyAlignment="1" applyProtection="1">
      <alignment horizontal="center" vertical="center" wrapText="1"/>
      <protection locked="0"/>
    </xf>
    <xf numFmtId="0" fontId="30" fillId="3" borderId="1" xfId="0" applyFont="1" applyFill="1" applyBorder="1" applyAlignment="1" applyProtection="1">
      <alignment horizontal="center" vertical="center"/>
      <protection locked="0"/>
    </xf>
    <xf numFmtId="0" fontId="34" fillId="3" borderId="10" xfId="0" applyFont="1" applyFill="1" applyBorder="1" applyAlignment="1" applyProtection="1">
      <alignment horizontal="center" vertical="center"/>
      <protection locked="0"/>
    </xf>
    <xf numFmtId="0" fontId="34" fillId="3" borderId="52"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64" fillId="2" borderId="0" xfId="0" applyFont="1" applyFill="1"/>
    <xf numFmtId="0" fontId="28" fillId="32" borderId="20" xfId="0" applyFont="1" applyFill="1" applyBorder="1" applyAlignment="1">
      <alignment horizontal="center" vertical="center" wrapText="1"/>
    </xf>
    <xf numFmtId="0" fontId="42" fillId="8" borderId="64" xfId="0" applyFont="1" applyFill="1" applyBorder="1" applyAlignment="1">
      <alignment horizontal="center" vertical="center" wrapText="1"/>
    </xf>
    <xf numFmtId="0" fontId="65" fillId="24" borderId="0" xfId="2" applyFont="1" applyAlignment="1">
      <alignment horizontal="center"/>
    </xf>
    <xf numFmtId="0" fontId="66" fillId="20" borderId="0" xfId="3" applyFont="1" applyFill="1" applyAlignment="1">
      <alignment horizontal="center"/>
    </xf>
    <xf numFmtId="0" fontId="66" fillId="25" borderId="0" xfId="3" applyFont="1" applyAlignment="1">
      <alignment horizontal="center"/>
    </xf>
    <xf numFmtId="0" fontId="65" fillId="24" borderId="0" xfId="2" applyFont="1" applyAlignment="1">
      <alignment horizontal="center" vertical="center"/>
    </xf>
    <xf numFmtId="0" fontId="66" fillId="25" borderId="0" xfId="3" applyFont="1" applyAlignment="1">
      <alignment horizontal="center" vertical="center"/>
    </xf>
    <xf numFmtId="0" fontId="0" fillId="2" borderId="1" xfId="0" applyFill="1" applyBorder="1" applyAlignment="1">
      <alignment horizontal="center" vertical="center"/>
    </xf>
    <xf numFmtId="49" fontId="1" fillId="2" borderId="0" xfId="0" applyNumberFormat="1" applyFont="1" applyFill="1" applyAlignment="1">
      <alignment horizontal="center" vertical="center"/>
    </xf>
    <xf numFmtId="0" fontId="0" fillId="2" borderId="0" xfId="0" applyFill="1" applyAlignment="1">
      <alignment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0" fillId="2" borderId="0" xfId="0" applyFill="1" applyAlignment="1">
      <alignment horizontal="left" vertical="top"/>
    </xf>
    <xf numFmtId="0" fontId="58" fillId="2" borderId="0" xfId="0" applyFont="1" applyFill="1" applyAlignment="1">
      <alignment vertical="center"/>
    </xf>
    <xf numFmtId="0" fontId="1" fillId="2" borderId="8" xfId="0" applyFont="1" applyFill="1" applyBorder="1" applyAlignment="1">
      <alignment vertical="center" wrapText="1"/>
    </xf>
    <xf numFmtId="0" fontId="0" fillId="2" borderId="9" xfId="0" applyFill="1" applyBorder="1" applyAlignment="1">
      <alignment vertical="center" wrapText="1"/>
    </xf>
    <xf numFmtId="0" fontId="1" fillId="2" borderId="10" xfId="0" applyFont="1" applyFill="1" applyBorder="1" applyAlignment="1">
      <alignment vertical="center" wrapText="1"/>
    </xf>
    <xf numFmtId="0" fontId="1" fillId="2" borderId="0" xfId="0" applyFont="1" applyFill="1" applyAlignment="1">
      <alignment vertical="center" wrapText="1"/>
    </xf>
    <xf numFmtId="0" fontId="0" fillId="2" borderId="0" xfId="0" applyFill="1" applyAlignment="1">
      <alignment horizontal="center" vertical="center"/>
    </xf>
    <xf numFmtId="0" fontId="0" fillId="2" borderId="0" xfId="0" applyFill="1" applyAlignment="1">
      <alignment vertical="center" wrapText="1"/>
    </xf>
    <xf numFmtId="0" fontId="0" fillId="2" borderId="0" xfId="0" applyFill="1" applyAlignment="1">
      <alignment horizontal="left" vertical="center"/>
    </xf>
    <xf numFmtId="0" fontId="24" fillId="2" borderId="8" xfId="0" applyFont="1" applyFill="1" applyBorder="1" applyAlignment="1">
      <alignment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21" fillId="2" borderId="0" xfId="0" applyFont="1" applyFill="1" applyAlignment="1">
      <alignment vertical="center" wrapText="1"/>
    </xf>
    <xf numFmtId="0" fontId="23" fillId="2" borderId="0" xfId="0" applyFont="1" applyFill="1" applyAlignment="1">
      <alignment horizontal="center" vertical="center"/>
    </xf>
    <xf numFmtId="0" fontId="0" fillId="2" borderId="3" xfId="0" applyFill="1" applyBorder="1" applyAlignment="1">
      <alignment vertical="center"/>
    </xf>
    <xf numFmtId="0" fontId="0" fillId="2" borderId="3" xfId="0" applyFill="1" applyBorder="1" applyAlignment="1">
      <alignment vertical="center" wrapText="1"/>
    </xf>
    <xf numFmtId="0" fontId="0" fillId="2" borderId="4" xfId="0" applyFill="1" applyBorder="1" applyAlignment="1">
      <alignment horizontal="left" vertical="center"/>
    </xf>
    <xf numFmtId="0" fontId="0" fillId="2" borderId="8" xfId="0" applyFill="1" applyBorder="1" applyAlignment="1">
      <alignment vertical="center" wrapText="1"/>
    </xf>
    <xf numFmtId="0" fontId="12" fillId="2" borderId="8" xfId="0" applyFont="1" applyFill="1" applyBorder="1" applyAlignment="1">
      <alignment vertical="center" wrapText="1"/>
    </xf>
    <xf numFmtId="0" fontId="16" fillId="2" borderId="0" xfId="0" applyFont="1" applyFill="1"/>
    <xf numFmtId="0" fontId="19" fillId="2" borderId="1" xfId="0" applyFont="1" applyFill="1" applyBorder="1" applyAlignment="1">
      <alignment vertical="center" wrapText="1"/>
    </xf>
    <xf numFmtId="0" fontId="16" fillId="2" borderId="1" xfId="0" applyFont="1" applyFill="1" applyBorder="1" applyAlignment="1">
      <alignment horizontal="center" vertical="center"/>
    </xf>
    <xf numFmtId="0" fontId="67" fillId="0" borderId="1" xfId="0" applyFont="1" applyBorder="1" applyAlignment="1">
      <alignment vertical="center" wrapText="1"/>
    </xf>
    <xf numFmtId="0" fontId="0" fillId="2" borderId="1" xfId="0" applyFill="1" applyBorder="1" applyAlignment="1">
      <alignment vertical="center" wrapText="1"/>
    </xf>
    <xf numFmtId="0" fontId="61" fillId="2" borderId="0" xfId="0" applyFont="1" applyFill="1" applyAlignment="1">
      <alignment horizontal="center" vertical="center" textRotation="90"/>
    </xf>
    <xf numFmtId="0" fontId="16" fillId="2" borderId="10" xfId="0" applyFont="1" applyFill="1" applyBorder="1" applyAlignment="1">
      <alignment vertical="center" wrapText="1"/>
    </xf>
    <xf numFmtId="0" fontId="0" fillId="0" borderId="1" xfId="0" applyBorder="1" applyAlignment="1">
      <alignment horizontal="center" vertical="center" wrapText="1"/>
    </xf>
    <xf numFmtId="0" fontId="16" fillId="0" borderId="10" xfId="0" applyFont="1" applyBorder="1" applyAlignment="1">
      <alignment vertical="center" wrapText="1"/>
    </xf>
    <xf numFmtId="0" fontId="0" fillId="0" borderId="0" xfId="0" applyAlignment="1">
      <alignment wrapText="1"/>
    </xf>
    <xf numFmtId="0" fontId="0" fillId="0" borderId="1" xfId="0" applyBorder="1" applyAlignment="1">
      <alignment horizontal="center" vertical="center"/>
    </xf>
    <xf numFmtId="0" fontId="2" fillId="2" borderId="0" xfId="0" applyFont="1" applyFill="1"/>
    <xf numFmtId="0" fontId="0" fillId="2" borderId="0" xfId="0" applyFill="1" applyAlignment="1">
      <alignment vertical="center"/>
    </xf>
    <xf numFmtId="0" fontId="14" fillId="2" borderId="0" xfId="0" applyFont="1" applyFill="1"/>
    <xf numFmtId="0" fontId="12" fillId="2" borderId="0" xfId="0" applyFont="1" applyFill="1" applyAlignment="1">
      <alignment horizontal="center" vertical="center"/>
    </xf>
    <xf numFmtId="0" fontId="14" fillId="0" borderId="0" xfId="0" applyFont="1"/>
    <xf numFmtId="49" fontId="12" fillId="2" borderId="0" xfId="0" applyNumberFormat="1" applyFont="1" applyFill="1" applyAlignment="1">
      <alignment horizontal="center" vertical="center"/>
    </xf>
    <xf numFmtId="0" fontId="14" fillId="2" borderId="0" xfId="0" applyFont="1" applyFill="1" applyAlignment="1">
      <alignment vertical="center"/>
    </xf>
    <xf numFmtId="0" fontId="14" fillId="2" borderId="0" xfId="0" applyFont="1" applyFill="1" applyAlignment="1">
      <alignment vertical="center" wrapText="1"/>
    </xf>
    <xf numFmtId="0" fontId="14" fillId="2" borderId="0" xfId="0" applyFont="1" applyFill="1" applyAlignment="1">
      <alignment horizontal="left" vertical="center"/>
    </xf>
    <xf numFmtId="0" fontId="14" fillId="2" borderId="0" xfId="0" applyFont="1" applyFill="1" applyAlignment="1">
      <alignment wrapText="1"/>
    </xf>
    <xf numFmtId="0" fontId="14" fillId="2" borderId="0" xfId="0" applyFont="1" applyFill="1" applyAlignment="1">
      <alignment horizontal="left"/>
    </xf>
    <xf numFmtId="49" fontId="1" fillId="0" borderId="0" xfId="0" applyNumberFormat="1" applyFont="1" applyAlignment="1">
      <alignment horizontal="center" vertical="center"/>
    </xf>
    <xf numFmtId="0" fontId="5" fillId="2" borderId="0" xfId="0" applyFont="1" applyFill="1" applyAlignment="1">
      <alignment horizontal="center" vertical="top" wrapText="1"/>
    </xf>
    <xf numFmtId="0" fontId="70" fillId="6" borderId="9" xfId="0" applyFont="1" applyFill="1" applyBorder="1" applyAlignment="1">
      <alignment horizontal="center" vertical="center"/>
    </xf>
    <xf numFmtId="0" fontId="70" fillId="13" borderId="9" xfId="0" applyFont="1" applyFill="1" applyBorder="1" applyAlignment="1">
      <alignment horizontal="center" vertical="center" wrapText="1"/>
    </xf>
    <xf numFmtId="0" fontId="70" fillId="13" borderId="10" xfId="0" applyFont="1" applyFill="1" applyBorder="1" applyAlignment="1">
      <alignment horizontal="center" vertical="center"/>
    </xf>
    <xf numFmtId="0" fontId="71" fillId="6" borderId="1" xfId="0" applyFont="1" applyFill="1" applyBorder="1" applyAlignment="1">
      <alignment horizontal="center" vertical="center"/>
    </xf>
    <xf numFmtId="0" fontId="12" fillId="2" borderId="10" xfId="0" applyFont="1" applyFill="1" applyBorder="1" applyAlignment="1">
      <alignment vertical="center" wrapText="1"/>
    </xf>
    <xf numFmtId="0" fontId="69" fillId="2" borderId="1" xfId="0" applyFont="1" applyFill="1" applyBorder="1" applyAlignment="1">
      <alignment vertical="center" wrapText="1"/>
    </xf>
    <xf numFmtId="0" fontId="48" fillId="2" borderId="1" xfId="0" applyFont="1" applyFill="1" applyBorder="1" applyAlignment="1">
      <alignment horizontal="center" vertical="center" wrapText="1"/>
    </xf>
    <xf numFmtId="0" fontId="40" fillId="4" borderId="67" xfId="0" applyFont="1" applyFill="1" applyBorder="1" applyAlignment="1">
      <alignment vertical="top" wrapText="1"/>
    </xf>
    <xf numFmtId="0" fontId="0" fillId="1" borderId="1" xfId="0" applyFill="1" applyBorder="1" applyAlignment="1" applyProtection="1">
      <alignment horizontal="center" vertical="center"/>
      <protection locked="0"/>
    </xf>
    <xf numFmtId="0" fontId="69" fillId="1" borderId="1" xfId="0" applyFont="1" applyFill="1" applyBorder="1" applyAlignment="1" applyProtection="1">
      <alignment horizontal="left" vertical="top" wrapText="1"/>
      <protection locked="0"/>
    </xf>
    <xf numFmtId="0" fontId="0" fillId="8" borderId="10" xfId="0" applyFill="1" applyBorder="1" applyAlignment="1">
      <alignment vertical="center" wrapText="1"/>
    </xf>
    <xf numFmtId="0" fontId="0" fillId="8" borderId="8" xfId="0" applyFill="1" applyBorder="1" applyAlignment="1">
      <alignment vertical="center" wrapText="1"/>
    </xf>
    <xf numFmtId="0" fontId="0" fillId="2" borderId="0" xfId="0" applyFill="1" applyAlignment="1">
      <alignment horizontal="center"/>
    </xf>
    <xf numFmtId="0" fontId="0" fillId="2" borderId="3" xfId="0" applyFill="1" applyBorder="1" applyAlignment="1">
      <alignment horizontal="center" vertical="center"/>
    </xf>
    <xf numFmtId="0" fontId="72" fillId="2" borderId="3" xfId="0" applyFont="1" applyFill="1" applyBorder="1" applyAlignment="1">
      <alignment horizontal="center" vertical="center"/>
    </xf>
    <xf numFmtId="0" fontId="14" fillId="2" borderId="1" xfId="0"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4" fillId="2" borderId="0" xfId="0" applyFont="1" applyFill="1" applyAlignment="1">
      <alignment horizontal="center"/>
    </xf>
    <xf numFmtId="0" fontId="25" fillId="2" borderId="0" xfId="0" applyFont="1" applyFill="1" applyAlignment="1">
      <alignment wrapText="1"/>
    </xf>
    <xf numFmtId="0" fontId="74" fillId="2" borderId="10" xfId="0" applyFont="1" applyFill="1" applyBorder="1" applyAlignment="1">
      <alignment vertical="center" wrapText="1"/>
    </xf>
    <xf numFmtId="0" fontId="75" fillId="2" borderId="0" xfId="4" applyFill="1" applyAlignment="1">
      <alignment wrapText="1"/>
    </xf>
    <xf numFmtId="49" fontId="14" fillId="2" borderId="0" xfId="0" applyNumberFormat="1" applyFont="1" applyFill="1" applyAlignment="1">
      <alignment horizontal="left" vertical="center"/>
    </xf>
    <xf numFmtId="0" fontId="16" fillId="2" borderId="0" xfId="0" applyFont="1" applyFill="1" applyAlignment="1">
      <alignment vertical="center" wrapText="1"/>
    </xf>
    <xf numFmtId="0" fontId="16" fillId="0" borderId="73" xfId="0" applyFont="1" applyBorder="1" applyAlignment="1">
      <alignment vertical="center" wrapText="1"/>
    </xf>
    <xf numFmtId="0" fontId="0" fillId="2" borderId="4" xfId="0" applyFill="1" applyBorder="1" applyAlignment="1">
      <alignment vertical="center" wrapText="1"/>
    </xf>
    <xf numFmtId="0" fontId="61" fillId="2" borderId="6" xfId="0" applyFont="1" applyFill="1" applyBorder="1" applyAlignment="1">
      <alignment horizontal="center" vertical="center" textRotation="90"/>
    </xf>
    <xf numFmtId="0" fontId="1" fillId="8" borderId="15"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1" fillId="8" borderId="69" xfId="0" applyFont="1" applyFill="1" applyBorder="1" applyAlignment="1">
      <alignment horizontal="center" vertical="center" wrapText="1"/>
    </xf>
    <xf numFmtId="0" fontId="40" fillId="0" borderId="66" xfId="0" applyFont="1" applyBorder="1" applyAlignment="1">
      <alignment vertical="top" wrapText="1"/>
    </xf>
    <xf numFmtId="0" fontId="48" fillId="2" borderId="8" xfId="0" applyFont="1" applyFill="1" applyBorder="1" applyAlignment="1">
      <alignment vertical="center" wrapText="1"/>
    </xf>
    <xf numFmtId="0" fontId="41" fillId="3" borderId="11" xfId="0" applyFont="1" applyFill="1" applyBorder="1" applyAlignment="1" applyProtection="1">
      <alignment horizontal="center" vertical="center"/>
      <protection locked="0"/>
    </xf>
    <xf numFmtId="49" fontId="41" fillId="3" borderId="11" xfId="0" applyNumberFormat="1" applyFont="1" applyFill="1" applyBorder="1" applyAlignment="1" applyProtection="1">
      <alignment horizontal="center" vertical="center"/>
      <protection locked="0"/>
    </xf>
    <xf numFmtId="0" fontId="41" fillId="3" borderId="7" xfId="0" applyFont="1" applyFill="1" applyBorder="1" applyAlignment="1" applyProtection="1">
      <alignment horizontal="center" vertical="center" wrapText="1"/>
      <protection locked="0"/>
    </xf>
    <xf numFmtId="0" fontId="62" fillId="3" borderId="7" xfId="0" applyFont="1" applyFill="1" applyBorder="1" applyAlignment="1" applyProtection="1">
      <alignment horizontal="center" vertical="center" wrapText="1"/>
      <protection locked="0"/>
    </xf>
    <xf numFmtId="1" fontId="70" fillId="13" borderId="7" xfId="0" applyNumberFormat="1" applyFont="1" applyFill="1" applyBorder="1" applyAlignment="1">
      <alignment horizontal="center" vertical="center" wrapText="1"/>
    </xf>
    <xf numFmtId="1" fontId="70" fillId="13" borderId="11" xfId="0" applyNumberFormat="1" applyFont="1" applyFill="1" applyBorder="1" applyAlignment="1">
      <alignment horizontal="center" vertical="center" wrapText="1"/>
    </xf>
    <xf numFmtId="0" fontId="34" fillId="3" borderId="8" xfId="0" applyFont="1" applyFill="1" applyBorder="1" applyAlignment="1" applyProtection="1">
      <alignment horizontal="center" vertical="center"/>
      <protection locked="0"/>
    </xf>
    <xf numFmtId="0" fontId="34" fillId="3" borderId="53" xfId="0" applyFont="1" applyFill="1" applyBorder="1" applyAlignment="1" applyProtection="1">
      <alignment horizontal="center" vertical="center"/>
      <protection locked="0"/>
    </xf>
    <xf numFmtId="0" fontId="70" fillId="6" borderId="77" xfId="0" applyFont="1" applyFill="1" applyBorder="1" applyAlignment="1">
      <alignment horizontal="center" vertical="center"/>
    </xf>
    <xf numFmtId="0" fontId="28" fillId="32" borderId="78" xfId="0" applyFont="1" applyFill="1" applyBorder="1" applyAlignment="1">
      <alignment horizontal="center" vertical="center" wrapText="1"/>
    </xf>
    <xf numFmtId="0" fontId="68" fillId="0" borderId="66" xfId="0" applyFont="1" applyBorder="1" applyAlignment="1">
      <alignment vertical="top" wrapText="1"/>
    </xf>
    <xf numFmtId="0" fontId="0" fillId="0" borderId="10" xfId="0" applyBorder="1" applyAlignment="1">
      <alignment vertical="center" wrapText="1"/>
    </xf>
    <xf numFmtId="0" fontId="0" fillId="0" borderId="1" xfId="0" applyBorder="1" applyAlignment="1" applyProtection="1">
      <alignment horizontal="center" vertical="center"/>
      <protection locked="0"/>
    </xf>
    <xf numFmtId="0" fontId="25" fillId="2" borderId="1" xfId="0" applyFont="1" applyFill="1" applyBorder="1" applyAlignment="1">
      <alignment vertical="center" wrapText="1"/>
    </xf>
    <xf numFmtId="0" fontId="12" fillId="8" borderId="1" xfId="0" applyFont="1" applyFill="1" applyBorder="1" applyAlignment="1">
      <alignment horizontal="center" vertical="center"/>
    </xf>
    <xf numFmtId="49" fontId="50" fillId="8" borderId="7" xfId="0" applyNumberFormat="1" applyFont="1" applyFill="1" applyBorder="1" applyAlignment="1">
      <alignment horizontal="center" vertical="center"/>
    </xf>
    <xf numFmtId="49" fontId="12" fillId="8" borderId="9" xfId="0" applyNumberFormat="1" applyFont="1" applyFill="1" applyBorder="1" applyAlignment="1">
      <alignment horizontal="center" vertical="center"/>
    </xf>
    <xf numFmtId="49" fontId="50" fillId="8" borderId="9" xfId="0" applyNumberFormat="1" applyFont="1" applyFill="1" applyBorder="1" applyAlignment="1">
      <alignment horizontal="center" vertical="center"/>
    </xf>
    <xf numFmtId="49" fontId="50" fillId="8" borderId="2" xfId="0" applyNumberFormat="1" applyFont="1" applyFill="1" applyBorder="1" applyAlignment="1">
      <alignment horizontal="center" vertical="center"/>
    </xf>
    <xf numFmtId="0" fontId="12" fillId="8" borderId="2" xfId="0" applyFont="1" applyFill="1" applyBorder="1" applyAlignment="1">
      <alignment horizontal="center" vertical="center"/>
    </xf>
    <xf numFmtId="49" fontId="12" fillId="8" borderId="7" xfId="0" applyNumberFormat="1" applyFont="1" applyFill="1" applyBorder="1" applyAlignment="1">
      <alignment horizontal="center" vertical="center"/>
    </xf>
    <xf numFmtId="0" fontId="12" fillId="8" borderId="9" xfId="0" applyFont="1" applyFill="1" applyBorder="1" applyAlignment="1">
      <alignment horizontal="center" vertical="center"/>
    </xf>
    <xf numFmtId="0" fontId="16" fillId="8" borderId="75" xfId="0" applyFont="1" applyFill="1" applyBorder="1" applyAlignment="1">
      <alignment vertical="center" wrapText="1"/>
    </xf>
    <xf numFmtId="0" fontId="0" fillId="0" borderId="8" xfId="0" applyBorder="1" applyAlignment="1">
      <alignment horizontal="left" vertical="center" wrapText="1"/>
    </xf>
    <xf numFmtId="0" fontId="28" fillId="32" borderId="83" xfId="0" applyFont="1" applyFill="1" applyBorder="1" applyAlignment="1">
      <alignment horizontal="center" vertical="center" wrapText="1"/>
    </xf>
    <xf numFmtId="0" fontId="28" fillId="32" borderId="43" xfId="0" applyFont="1" applyFill="1" applyBorder="1" applyAlignment="1">
      <alignment horizontal="center" vertical="center" wrapText="1"/>
    </xf>
    <xf numFmtId="0" fontId="0" fillId="0" borderId="0" xfId="0" applyAlignment="1">
      <alignment vertical="center" wrapText="1"/>
    </xf>
    <xf numFmtId="0" fontId="62" fillId="3" borderId="86" xfId="0" applyFont="1" applyFill="1" applyBorder="1" applyAlignment="1" applyProtection="1">
      <alignment horizontal="center" vertical="center" wrapText="1"/>
      <protection locked="0"/>
    </xf>
    <xf numFmtId="0" fontId="62" fillId="3" borderId="87" xfId="0" applyFont="1" applyFill="1" applyBorder="1" applyAlignment="1" applyProtection="1">
      <alignment horizontal="center" vertical="center" wrapText="1"/>
      <protection locked="0"/>
    </xf>
    <xf numFmtId="0" fontId="16" fillId="8" borderId="10" xfId="0" applyFont="1" applyFill="1" applyBorder="1" applyAlignment="1">
      <alignment vertical="center" wrapText="1"/>
    </xf>
    <xf numFmtId="0" fontId="0" fillId="0" borderId="74" xfId="0" applyBorder="1" applyAlignment="1">
      <alignment vertical="center" wrapText="1"/>
    </xf>
    <xf numFmtId="0" fontId="0" fillId="0" borderId="4" xfId="0" applyBorder="1" applyAlignment="1">
      <alignment vertical="center" wrapText="1"/>
    </xf>
    <xf numFmtId="2" fontId="12" fillId="8" borderId="2" xfId="0" applyNumberFormat="1" applyFont="1" applyFill="1" applyBorder="1" applyAlignment="1">
      <alignment horizontal="center" vertical="center"/>
    </xf>
    <xf numFmtId="164" fontId="12" fillId="8" borderId="9" xfId="0" applyNumberFormat="1" applyFont="1" applyFill="1" applyBorder="1" applyAlignment="1">
      <alignment horizontal="center" vertical="center"/>
    </xf>
    <xf numFmtId="0" fontId="74" fillId="2" borderId="0" xfId="0" applyFont="1" applyFill="1"/>
    <xf numFmtId="0" fontId="0" fillId="0" borderId="1" xfId="0" applyBorder="1" applyAlignment="1">
      <alignment vertical="center" wrapText="1"/>
    </xf>
    <xf numFmtId="0" fontId="25" fillId="2" borderId="1" xfId="0" applyFont="1" applyFill="1" applyBorder="1" applyAlignment="1">
      <alignment horizontal="center" vertical="center" wrapText="1"/>
    </xf>
    <xf numFmtId="0" fontId="73" fillId="0" borderId="1" xfId="0" applyFont="1" applyBorder="1" applyAlignment="1">
      <alignment vertical="top" wrapText="1"/>
    </xf>
    <xf numFmtId="0" fontId="59" fillId="2" borderId="1" xfId="0" applyFont="1" applyFill="1" applyBorder="1" applyAlignment="1">
      <alignment vertical="center" wrapText="1"/>
    </xf>
    <xf numFmtId="0" fontId="0" fillId="2" borderId="1" xfId="0" applyFill="1" applyBorder="1" applyAlignment="1">
      <alignment vertical="top" wrapText="1"/>
    </xf>
    <xf numFmtId="0" fontId="14" fillId="2" borderId="1" xfId="0" applyFont="1" applyFill="1" applyBorder="1" applyAlignment="1">
      <alignment vertical="center" wrapText="1"/>
    </xf>
    <xf numFmtId="0" fontId="0" fillId="0" borderId="1" xfId="0" applyBorder="1" applyAlignment="1">
      <alignment wrapText="1"/>
    </xf>
    <xf numFmtId="0" fontId="73" fillId="2" borderId="1" xfId="0" applyFont="1" applyFill="1" applyBorder="1" applyAlignment="1">
      <alignment vertical="center" wrapText="1"/>
    </xf>
    <xf numFmtId="0" fontId="16" fillId="8" borderId="8" xfId="0" applyFont="1" applyFill="1" applyBorder="1" applyAlignment="1">
      <alignment vertical="center" wrapText="1"/>
    </xf>
    <xf numFmtId="0" fontId="25" fillId="0" borderId="0" xfId="0" applyFont="1" applyAlignment="1">
      <alignment wrapText="1"/>
    </xf>
    <xf numFmtId="0" fontId="16" fillId="0" borderId="0" xfId="0" applyFont="1" applyAlignment="1">
      <alignment vertical="center" wrapText="1"/>
    </xf>
    <xf numFmtId="2" fontId="12" fillId="8" borderId="9" xfId="0" applyNumberFormat="1" applyFont="1" applyFill="1" applyBorder="1" applyAlignment="1">
      <alignment horizontal="center" vertical="center"/>
    </xf>
    <xf numFmtId="0" fontId="25" fillId="2" borderId="0" xfId="0" applyFont="1" applyFill="1" applyAlignment="1">
      <alignment vertical="center" wrapText="1"/>
    </xf>
    <xf numFmtId="0" fontId="0" fillId="2" borderId="11" xfId="0" applyFill="1" applyBorder="1" applyAlignment="1">
      <alignment horizontal="center" vertical="center" wrapText="1"/>
    </xf>
    <xf numFmtId="0" fontId="82" fillId="0" borderId="0" xfId="0" applyFont="1"/>
    <xf numFmtId="49" fontId="36" fillId="16" borderId="0" xfId="0" applyNumberFormat="1" applyFont="1" applyFill="1" applyAlignment="1">
      <alignment wrapText="1"/>
    </xf>
    <xf numFmtId="0" fontId="83" fillId="0" borderId="0" xfId="0" applyFont="1"/>
    <xf numFmtId="0" fontId="16" fillId="10" borderId="0" xfId="0" applyFont="1" applyFill="1"/>
    <xf numFmtId="0" fontId="40" fillId="8" borderId="7" xfId="0" applyFont="1" applyFill="1" applyBorder="1" applyAlignment="1">
      <alignment horizontal="center" vertical="center" wrapText="1"/>
    </xf>
    <xf numFmtId="1" fontId="41" fillId="3" borderId="7" xfId="0" applyNumberFormat="1" applyFont="1" applyFill="1" applyBorder="1" applyAlignment="1" applyProtection="1">
      <alignment horizontal="center" vertical="center"/>
      <protection locked="0"/>
    </xf>
    <xf numFmtId="2" fontId="40" fillId="2" borderId="0" xfId="0" applyNumberFormat="1" applyFont="1" applyFill="1" applyAlignment="1">
      <alignment horizontal="center" vertical="center"/>
    </xf>
    <xf numFmtId="0" fontId="62" fillId="3" borderId="52" xfId="0" applyFont="1" applyFill="1" applyBorder="1" applyAlignment="1" applyProtection="1">
      <alignment horizontal="center" vertical="center" wrapText="1"/>
      <protection locked="0"/>
    </xf>
    <xf numFmtId="0" fontId="44" fillId="32" borderId="34" xfId="0" applyFont="1" applyFill="1" applyBorder="1" applyAlignment="1">
      <alignment horizontal="center" vertical="center" wrapText="1"/>
    </xf>
    <xf numFmtId="0" fontId="90" fillId="34" borderId="91" xfId="0" applyFont="1" applyFill="1" applyBorder="1" applyAlignment="1">
      <alignment horizontal="center" vertical="center" wrapText="1"/>
    </xf>
    <xf numFmtId="0" fontId="40" fillId="8" borderId="91" xfId="0" applyFont="1" applyFill="1" applyBorder="1" applyAlignment="1">
      <alignment horizontal="center" vertical="center" wrapText="1"/>
    </xf>
    <xf numFmtId="2" fontId="12" fillId="8" borderId="72" xfId="0" applyNumberFormat="1" applyFont="1" applyFill="1" applyBorder="1" applyAlignment="1">
      <alignment horizontal="center" vertical="center"/>
    </xf>
    <xf numFmtId="0" fontId="44" fillId="32" borderId="62" xfId="0" applyFont="1" applyFill="1" applyBorder="1" applyAlignment="1">
      <alignment horizontal="center" vertical="center" wrapText="1"/>
    </xf>
    <xf numFmtId="0" fontId="44" fillId="32" borderId="63" xfId="0" applyFont="1" applyFill="1" applyBorder="1" applyAlignment="1">
      <alignment horizontal="center" vertical="center" wrapText="1"/>
    </xf>
    <xf numFmtId="0" fontId="44" fillId="8" borderId="61" xfId="0" applyFont="1" applyFill="1" applyBorder="1" applyAlignment="1">
      <alignment horizontal="center" vertical="center" wrapText="1"/>
    </xf>
    <xf numFmtId="0" fontId="44" fillId="32" borderId="64" xfId="0" applyFont="1" applyFill="1" applyBorder="1" applyAlignment="1">
      <alignment horizontal="center" vertical="center" wrapText="1"/>
    </xf>
    <xf numFmtId="0" fontId="37" fillId="0" borderId="35" xfId="0" applyFont="1" applyBorder="1" applyAlignment="1">
      <alignment wrapText="1"/>
    </xf>
    <xf numFmtId="0" fontId="24" fillId="2" borderId="0" xfId="0" applyFont="1" applyFill="1" applyAlignment="1">
      <alignment vertical="center" wrapText="1"/>
    </xf>
    <xf numFmtId="0" fontId="16" fillId="2" borderId="8" xfId="0" applyFont="1" applyFill="1" applyBorder="1" applyAlignment="1">
      <alignment vertical="center" wrapText="1"/>
    </xf>
    <xf numFmtId="0" fontId="61" fillId="2" borderId="92" xfId="0" applyFont="1" applyFill="1" applyBorder="1" applyAlignment="1">
      <alignment horizontal="center" vertical="center" textRotation="90"/>
    </xf>
    <xf numFmtId="0" fontId="74" fillId="0" borderId="0" xfId="0" applyFont="1"/>
    <xf numFmtId="0" fontId="12" fillId="2" borderId="0" xfId="0" applyFont="1" applyFill="1" applyAlignment="1">
      <alignment vertical="center" wrapText="1"/>
    </xf>
    <xf numFmtId="164" fontId="12" fillId="8" borderId="5" xfId="0" applyNumberFormat="1" applyFont="1" applyFill="1" applyBorder="1" applyAlignment="1">
      <alignment horizontal="center" vertical="center"/>
    </xf>
    <xf numFmtId="164" fontId="12" fillId="8" borderId="7" xfId="0" applyNumberFormat="1" applyFont="1" applyFill="1" applyBorder="1" applyAlignment="1">
      <alignment horizontal="center" vertical="center"/>
    </xf>
    <xf numFmtId="0" fontId="0" fillId="2" borderId="59"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59" xfId="0" applyFill="1" applyBorder="1" applyAlignment="1">
      <alignment horizontal="center" vertical="center"/>
    </xf>
    <xf numFmtId="0" fontId="0" fillId="2" borderId="11" xfId="0" applyFill="1" applyBorder="1" applyAlignment="1">
      <alignment horizontal="center" vertical="center"/>
    </xf>
    <xf numFmtId="49" fontId="12" fillId="8" borderId="5" xfId="0" applyNumberFormat="1" applyFont="1" applyFill="1" applyBorder="1" applyAlignment="1">
      <alignment horizontal="center" vertical="center"/>
    </xf>
    <xf numFmtId="49" fontId="12" fillId="8" borderId="7" xfId="0" applyNumberFormat="1" applyFont="1" applyFill="1" applyBorder="1" applyAlignment="1">
      <alignment horizontal="center" vertical="center"/>
    </xf>
    <xf numFmtId="2" fontId="12" fillId="8" borderId="2" xfId="0" applyNumberFormat="1" applyFont="1" applyFill="1" applyBorder="1" applyAlignment="1">
      <alignment horizontal="center" vertical="center"/>
    </xf>
    <xf numFmtId="2" fontId="12" fillId="8" borderId="7" xfId="0" applyNumberFormat="1" applyFont="1" applyFill="1" applyBorder="1" applyAlignment="1">
      <alignment horizontal="center" vertical="center"/>
    </xf>
    <xf numFmtId="49" fontId="12" fillId="8" borderId="2" xfId="0" applyNumberFormat="1" applyFont="1" applyFill="1" applyBorder="1" applyAlignment="1">
      <alignment horizontal="center" vertical="center"/>
    </xf>
    <xf numFmtId="0" fontId="12" fillId="8" borderId="88" xfId="0" applyFont="1" applyFill="1" applyBorder="1" applyAlignment="1">
      <alignment horizontal="center" vertical="center" wrapText="1"/>
    </xf>
    <xf numFmtId="0" fontId="12" fillId="8" borderId="89" xfId="0" applyFont="1" applyFill="1" applyBorder="1" applyAlignment="1">
      <alignment horizontal="center" vertical="center" wrapText="1"/>
    </xf>
    <xf numFmtId="49" fontId="50" fillId="8" borderId="2" xfId="0" applyNumberFormat="1" applyFont="1" applyFill="1" applyBorder="1" applyAlignment="1">
      <alignment horizontal="center" vertical="center"/>
    </xf>
    <xf numFmtId="49" fontId="50" fillId="8" borderId="7" xfId="0" applyNumberFormat="1" applyFont="1" applyFill="1" applyBorder="1" applyAlignment="1">
      <alignment horizontal="center" vertical="center"/>
    </xf>
    <xf numFmtId="0" fontId="21" fillId="5" borderId="70" xfId="0" applyFont="1" applyFill="1" applyBorder="1" applyAlignment="1">
      <alignment horizontal="center" vertical="center" wrapText="1"/>
    </xf>
    <xf numFmtId="0" fontId="21" fillId="5" borderId="71" xfId="0" applyFont="1" applyFill="1" applyBorder="1" applyAlignment="1">
      <alignment horizontal="center" vertical="center" wrapText="1"/>
    </xf>
    <xf numFmtId="0" fontId="1" fillId="4" borderId="5" xfId="0" applyFont="1" applyFill="1" applyBorder="1" applyAlignment="1">
      <alignment horizontal="left" vertical="center" wrapText="1"/>
    </xf>
    <xf numFmtId="0" fontId="1" fillId="4" borderId="0" xfId="0" applyFont="1" applyFill="1" applyAlignment="1">
      <alignment horizontal="left" vertical="center" wrapText="1"/>
    </xf>
    <xf numFmtId="0" fontId="1" fillId="4" borderId="6" xfId="0" applyFont="1" applyFill="1" applyBorder="1" applyAlignment="1">
      <alignment horizontal="left" vertical="center" wrapText="1"/>
    </xf>
    <xf numFmtId="164" fontId="12" fillId="8" borderId="2" xfId="0" applyNumberFormat="1" applyFont="1" applyFill="1" applyBorder="1" applyAlignment="1">
      <alignment horizontal="center" vertical="center"/>
    </xf>
    <xf numFmtId="0" fontId="0" fillId="2" borderId="1" xfId="0" applyFill="1" applyBorder="1" applyAlignment="1">
      <alignment horizontal="center" vertical="center"/>
    </xf>
    <xf numFmtId="0" fontId="12" fillId="8" borderId="2" xfId="0" applyFont="1" applyFill="1" applyBorder="1" applyAlignment="1">
      <alignment horizontal="center" vertical="center"/>
    </xf>
    <xf numFmtId="0" fontId="12" fillId="8" borderId="7"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3" xfId="0" applyFont="1" applyFill="1" applyBorder="1" applyAlignment="1">
      <alignment horizontal="center" vertical="center"/>
    </xf>
    <xf numFmtId="0" fontId="21" fillId="5" borderId="12" xfId="0" applyFont="1" applyFill="1" applyBorder="1" applyAlignment="1">
      <alignment horizontal="center" vertical="center"/>
    </xf>
    <xf numFmtId="49" fontId="21" fillId="5" borderId="2" xfId="0" applyNumberFormat="1" applyFont="1" applyFill="1" applyBorder="1" applyAlignment="1">
      <alignment horizontal="center" vertical="center" wrapText="1"/>
    </xf>
    <xf numFmtId="49" fontId="21" fillId="5" borderId="3" xfId="0" applyNumberFormat="1" applyFont="1" applyFill="1" applyBorder="1" applyAlignment="1">
      <alignment horizontal="center" vertical="center"/>
    </xf>
    <xf numFmtId="49" fontId="21" fillId="5" borderId="7" xfId="0" applyNumberFormat="1" applyFont="1" applyFill="1" applyBorder="1" applyAlignment="1">
      <alignment horizontal="center" vertical="center"/>
    </xf>
    <xf numFmtId="49" fontId="21" fillId="5" borderId="53" xfId="0" applyNumberFormat="1" applyFont="1" applyFill="1" applyBorder="1" applyAlignment="1">
      <alignment horizontal="center" vertical="center"/>
    </xf>
    <xf numFmtId="0" fontId="21" fillId="5" borderId="68" xfId="0" applyFont="1" applyFill="1" applyBorder="1" applyAlignment="1">
      <alignment horizontal="center" vertical="center" wrapText="1"/>
    </xf>
    <xf numFmtId="0" fontId="21" fillId="5" borderId="69" xfId="0" applyFont="1" applyFill="1" applyBorder="1" applyAlignment="1">
      <alignment horizontal="center" vertical="center" wrapText="1"/>
    </xf>
    <xf numFmtId="0" fontId="21" fillId="5" borderId="76"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18" xfId="0" applyFont="1" applyFill="1" applyBorder="1" applyAlignment="1">
      <alignment horizontal="center" vertical="center"/>
    </xf>
    <xf numFmtId="0" fontId="21" fillId="5" borderId="0" xfId="0" applyFont="1" applyFill="1" applyAlignment="1">
      <alignment horizontal="center" vertical="center"/>
    </xf>
    <xf numFmtId="49" fontId="21" fillId="5" borderId="3" xfId="0" applyNumberFormat="1" applyFont="1" applyFill="1" applyBorder="1" applyAlignment="1">
      <alignment horizontal="center" vertical="center" wrapText="1"/>
    </xf>
    <xf numFmtId="49" fontId="21" fillId="5" borderId="7" xfId="0" applyNumberFormat="1" applyFont="1" applyFill="1" applyBorder="1" applyAlignment="1">
      <alignment horizontal="center" vertical="center" wrapText="1"/>
    </xf>
    <xf numFmtId="49" fontId="21" fillId="5" borderId="53" xfId="0" applyNumberFormat="1" applyFont="1" applyFill="1" applyBorder="1" applyAlignment="1">
      <alignment horizontal="center" vertical="center" wrapText="1"/>
    </xf>
    <xf numFmtId="0" fontId="21" fillId="5" borderId="5" xfId="0" applyFont="1" applyFill="1" applyBorder="1" applyAlignment="1">
      <alignment horizontal="left" vertical="center" wrapText="1"/>
    </xf>
    <xf numFmtId="0" fontId="21" fillId="5" borderId="19" xfId="0" applyFont="1" applyFill="1" applyBorder="1" applyAlignment="1">
      <alignment horizontal="left" vertical="center" wrapText="1"/>
    </xf>
    <xf numFmtId="0" fontId="21" fillId="5" borderId="13"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4" fillId="2" borderId="0" xfId="0" applyFont="1" applyFill="1" applyAlignment="1">
      <alignment horizontal="left"/>
    </xf>
    <xf numFmtId="0" fontId="5" fillId="2" borderId="0" xfId="0" applyFont="1" applyFill="1" applyAlignment="1">
      <alignment horizontal="left" vertical="top" wrapText="1"/>
    </xf>
    <xf numFmtId="0" fontId="21" fillId="5" borderId="24"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6"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5" fillId="2" borderId="0" xfId="0" applyFont="1" applyFill="1" applyAlignment="1">
      <alignment horizontal="left" vertical="center" wrapText="1"/>
    </xf>
    <xf numFmtId="0" fontId="21" fillId="5" borderId="48"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0" fillId="2" borderId="1" xfId="0" applyFill="1" applyBorder="1" applyAlignment="1">
      <alignment horizontal="center" vertical="center" wrapText="1"/>
    </xf>
    <xf numFmtId="49" fontId="14" fillId="8" borderId="72" xfId="0" applyNumberFormat="1" applyFont="1" applyFill="1" applyBorder="1" applyAlignment="1">
      <alignment horizontal="center" vertical="center"/>
    </xf>
    <xf numFmtId="49" fontId="14" fillId="8" borderId="85" xfId="0" applyNumberFormat="1" applyFont="1" applyFill="1" applyBorder="1" applyAlignment="1">
      <alignment horizontal="center" vertical="center"/>
    </xf>
    <xf numFmtId="0" fontId="12" fillId="8" borderId="59" xfId="0" applyFont="1" applyFill="1" applyBorder="1" applyAlignment="1">
      <alignment horizontal="center" vertical="center"/>
    </xf>
    <xf numFmtId="0" fontId="12" fillId="8" borderId="11" xfId="0" applyFont="1" applyFill="1" applyBorder="1" applyAlignment="1">
      <alignment horizontal="center" vertical="center"/>
    </xf>
    <xf numFmtId="0" fontId="27" fillId="5" borderId="0" xfId="0" applyFont="1" applyFill="1" applyAlignment="1">
      <alignment horizontal="center" vertical="center" wrapText="1"/>
    </xf>
    <xf numFmtId="0" fontId="21" fillId="5" borderId="0" xfId="0" applyFont="1" applyFill="1" applyAlignment="1">
      <alignment horizontal="center" vertical="center" wrapText="1"/>
    </xf>
    <xf numFmtId="0" fontId="21" fillId="5" borderId="18" xfId="0" applyFont="1" applyFill="1" applyBorder="1" applyAlignment="1">
      <alignment horizontal="center" vertical="center" wrapText="1"/>
    </xf>
    <xf numFmtId="0" fontId="21" fillId="5" borderId="90"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1" fillId="5" borderId="76" xfId="0" applyFont="1" applyFill="1" applyBorder="1" applyAlignment="1">
      <alignment horizontal="center" vertical="center" wrapText="1"/>
    </xf>
    <xf numFmtId="0" fontId="21" fillId="5" borderId="93" xfId="0" applyFont="1" applyFill="1" applyBorder="1" applyAlignment="1">
      <alignment horizontal="center" vertical="center" wrapText="1"/>
    </xf>
    <xf numFmtId="0" fontId="21" fillId="5" borderId="94"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77" fillId="2" borderId="5" xfId="0" applyFont="1" applyFill="1" applyBorder="1" applyAlignment="1">
      <alignment horizontal="left" vertical="center" wrapText="1"/>
    </xf>
    <xf numFmtId="0" fontId="77" fillId="2" borderId="0" xfId="0" applyFont="1" applyFill="1" applyAlignment="1">
      <alignment horizontal="left" vertical="center" wrapText="1"/>
    </xf>
    <xf numFmtId="0" fontId="86" fillId="2" borderId="5" xfId="0" applyFont="1" applyFill="1" applyBorder="1" applyAlignment="1">
      <alignment horizontal="left" vertical="center" wrapText="1"/>
    </xf>
    <xf numFmtId="0" fontId="86" fillId="2" borderId="0" xfId="0" applyFont="1" applyFill="1" applyAlignment="1">
      <alignment horizontal="left" vertical="center" wrapText="1"/>
    </xf>
    <xf numFmtId="0" fontId="6" fillId="2" borderId="0" xfId="0" applyFont="1" applyFill="1" applyAlignment="1">
      <alignment horizontal="left" wrapText="1"/>
    </xf>
    <xf numFmtId="0" fontId="6" fillId="2" borderId="0" xfId="0" applyFont="1" applyFill="1" applyAlignment="1">
      <alignment horizontal="left"/>
    </xf>
    <xf numFmtId="0" fontId="31" fillId="11" borderId="0" xfId="0" applyFont="1" applyFill="1" applyAlignment="1">
      <alignment horizontal="center" vertical="center" wrapText="1"/>
    </xf>
    <xf numFmtId="0" fontId="21" fillId="5" borderId="25" xfId="0" applyFont="1" applyFill="1" applyBorder="1" applyAlignment="1">
      <alignment horizontal="center" vertical="center"/>
    </xf>
    <xf numFmtId="0" fontId="21" fillId="5" borderId="26" xfId="0" applyFont="1" applyFill="1" applyBorder="1" applyAlignment="1">
      <alignment horizontal="center" vertical="center"/>
    </xf>
    <xf numFmtId="0" fontId="29" fillId="9" borderId="14" xfId="0" applyFont="1" applyFill="1" applyBorder="1" applyAlignment="1">
      <alignment horizontal="center" vertical="center" wrapText="1"/>
    </xf>
    <xf numFmtId="0" fontId="29" fillId="9" borderId="23" xfId="0" applyFont="1" applyFill="1" applyBorder="1" applyAlignment="1">
      <alignment horizontal="center" vertical="center" wrapText="1"/>
    </xf>
    <xf numFmtId="0" fontId="0" fillId="0" borderId="5" xfId="0" applyBorder="1"/>
    <xf numFmtId="0" fontId="21" fillId="5" borderId="79" xfId="0" applyFont="1" applyFill="1" applyBorder="1" applyAlignment="1">
      <alignment horizontal="left" vertical="center" wrapText="1"/>
    </xf>
    <xf numFmtId="0" fontId="21" fillId="5" borderId="2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50"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54" fillId="31" borderId="3" xfId="0" applyFont="1" applyFill="1" applyBorder="1" applyAlignment="1">
      <alignment horizontal="center" vertical="center" wrapText="1"/>
    </xf>
    <xf numFmtId="0" fontId="54" fillId="31" borderId="0" xfId="0" applyFont="1" applyFill="1" applyAlignment="1">
      <alignment horizontal="center" vertical="center" wrapText="1"/>
    </xf>
    <xf numFmtId="0" fontId="54" fillId="31" borderId="54" xfId="0" applyFont="1" applyFill="1" applyBorder="1" applyAlignment="1">
      <alignment horizontal="center" vertical="center" wrapText="1"/>
    </xf>
    <xf numFmtId="0" fontId="54" fillId="31" borderId="55" xfId="0" applyFont="1" applyFill="1" applyBorder="1" applyAlignment="1">
      <alignment horizontal="center" vertical="center" wrapText="1"/>
    </xf>
    <xf numFmtId="0" fontId="29" fillId="9" borderId="56" xfId="0" applyFont="1" applyFill="1" applyBorder="1" applyAlignment="1">
      <alignment horizontal="center" vertical="center" wrapText="1"/>
    </xf>
    <xf numFmtId="0" fontId="29" fillId="9" borderId="57" xfId="0" applyFont="1" applyFill="1" applyBorder="1" applyAlignment="1">
      <alignment horizontal="center" vertical="center" wrapText="1"/>
    </xf>
    <xf numFmtId="0" fontId="29" fillId="9" borderId="58" xfId="0" applyFont="1" applyFill="1" applyBorder="1" applyAlignment="1">
      <alignment horizontal="center" vertical="center" wrapText="1"/>
    </xf>
    <xf numFmtId="0" fontId="0" fillId="21" borderId="0" xfId="0" applyFill="1" applyAlignment="1">
      <alignment horizontal="left" vertical="center"/>
    </xf>
    <xf numFmtId="0" fontId="66" fillId="20" borderId="0" xfId="3" applyFont="1" applyFill="1" applyAlignment="1">
      <alignment horizontal="center" vertical="center"/>
    </xf>
    <xf numFmtId="0" fontId="0" fillId="6" borderId="0" xfId="0" applyFill="1" applyAlignment="1">
      <alignment horizontal="left" vertical="center"/>
    </xf>
    <xf numFmtId="0" fontId="0" fillId="7" borderId="0" xfId="0" applyFill="1" applyAlignment="1">
      <alignment horizontal="left" vertical="center"/>
    </xf>
    <xf numFmtId="0" fontId="3" fillId="22" borderId="0" xfId="0" applyFont="1" applyFill="1" applyAlignment="1">
      <alignment horizontal="center" wrapText="1"/>
    </xf>
    <xf numFmtId="0" fontId="0" fillId="23" borderId="0" xfId="0" applyFill="1" applyAlignment="1">
      <alignment horizontal="left" vertical="center"/>
    </xf>
    <xf numFmtId="0" fontId="0" fillId="30" borderId="0" xfId="0" applyFill="1" applyAlignment="1">
      <alignment horizontal="left" vertical="center"/>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30" borderId="0" xfId="0" applyFont="1" applyFill="1" applyAlignment="1">
      <alignment horizontal="center" vertical="center" wrapText="1"/>
    </xf>
    <xf numFmtId="0" fontId="16" fillId="23" borderId="0" xfId="0" applyFont="1" applyFill="1" applyAlignment="1">
      <alignment horizontal="center" vertical="center" wrapText="1"/>
    </xf>
    <xf numFmtId="0" fontId="3" fillId="15" borderId="21" xfId="0" applyFont="1" applyFill="1" applyBorder="1" applyAlignment="1">
      <alignment horizontal="center"/>
    </xf>
    <xf numFmtId="0" fontId="16" fillId="21" borderId="0" xfId="0" applyFont="1" applyFill="1" applyAlignment="1">
      <alignment horizontal="center" vertical="center" wrapText="1"/>
    </xf>
    <xf numFmtId="0" fontId="16" fillId="19" borderId="0" xfId="0" applyFont="1" applyFill="1" applyAlignment="1">
      <alignment horizontal="center" vertical="center" wrapText="1"/>
    </xf>
    <xf numFmtId="0" fontId="16" fillId="7" borderId="0" xfId="0" applyFont="1" applyFill="1" applyAlignment="1">
      <alignment horizontal="center" vertical="center"/>
    </xf>
    <xf numFmtId="0" fontId="16" fillId="14" borderId="0" xfId="0" applyFont="1" applyFill="1" applyAlignment="1">
      <alignment horizontal="center" vertical="center" wrapText="1"/>
    </xf>
    <xf numFmtId="0" fontId="3" fillId="22" borderId="0" xfId="0" applyFont="1" applyFill="1" applyAlignment="1">
      <alignment horizontal="center"/>
    </xf>
    <xf numFmtId="0" fontId="0" fillId="14" borderId="0" xfId="0" applyFill="1" applyAlignment="1">
      <alignment horizontal="left" vertical="center"/>
    </xf>
    <xf numFmtId="0" fontId="16" fillId="8" borderId="0" xfId="0" applyFont="1" applyFill="1" applyAlignment="1">
      <alignment horizontal="left" vertical="center"/>
    </xf>
    <xf numFmtId="0" fontId="16" fillId="6" borderId="0" xfId="0" applyFont="1" applyFill="1" applyAlignment="1">
      <alignment horizontal="left" vertical="center"/>
    </xf>
    <xf numFmtId="2" fontId="0" fillId="21" borderId="0" xfId="0" applyNumberFormat="1" applyFill="1" applyAlignment="1">
      <alignment horizontal="center" vertical="center"/>
    </xf>
    <xf numFmtId="2" fontId="0" fillId="6" borderId="0" xfId="0" applyNumberFormat="1" applyFill="1" applyAlignment="1">
      <alignment horizontal="center" vertical="center"/>
    </xf>
    <xf numFmtId="2" fontId="0" fillId="7" borderId="0" xfId="0" applyNumberFormat="1" applyFill="1" applyAlignment="1">
      <alignment horizontal="center" vertical="center"/>
    </xf>
    <xf numFmtId="165" fontId="0" fillId="21" borderId="0" xfId="1" applyNumberFormat="1" applyFont="1" applyFill="1" applyAlignment="1">
      <alignment horizontal="center" vertical="center"/>
    </xf>
    <xf numFmtId="165" fontId="0" fillId="6" borderId="0" xfId="1" applyNumberFormat="1" applyFont="1" applyFill="1" applyAlignment="1">
      <alignment horizontal="center" vertical="center"/>
    </xf>
    <xf numFmtId="165" fontId="0" fillId="7" borderId="0" xfId="1" applyNumberFormat="1" applyFont="1" applyFill="1" applyAlignment="1">
      <alignment horizontal="center" vertical="center"/>
    </xf>
    <xf numFmtId="0" fontId="16" fillId="6" borderId="0" xfId="0" applyFont="1" applyFill="1" applyAlignment="1">
      <alignment horizontal="center" vertical="center"/>
    </xf>
    <xf numFmtId="0" fontId="16" fillId="8" borderId="0" xfId="0" applyFont="1" applyFill="1" applyAlignment="1">
      <alignment horizontal="center" vertical="center"/>
    </xf>
    <xf numFmtId="165" fontId="0" fillId="23" borderId="0" xfId="1" applyNumberFormat="1" applyFont="1" applyFill="1" applyAlignment="1">
      <alignment horizontal="center" vertical="center"/>
    </xf>
    <xf numFmtId="165" fontId="0" fillId="29" borderId="0" xfId="1" applyNumberFormat="1" applyFont="1" applyFill="1" applyAlignment="1">
      <alignment horizontal="center" vertical="center"/>
    </xf>
    <xf numFmtId="2" fontId="0" fillId="23" borderId="0" xfId="0" applyNumberFormat="1" applyFill="1" applyAlignment="1">
      <alignment horizontal="center" vertical="center"/>
    </xf>
    <xf numFmtId="2" fontId="0" fillId="29" borderId="0" xfId="0" applyNumberFormat="1" applyFill="1" applyAlignment="1">
      <alignment horizontal="center" vertical="center"/>
    </xf>
    <xf numFmtId="165" fontId="0" fillId="19" borderId="0" xfId="1" applyNumberFormat="1" applyFont="1" applyFill="1" applyAlignment="1">
      <alignment horizontal="center" vertical="center"/>
    </xf>
    <xf numFmtId="165" fontId="0" fillId="14" borderId="0" xfId="1" applyNumberFormat="1" applyFont="1" applyFill="1" applyAlignment="1">
      <alignment horizontal="center" vertical="center"/>
    </xf>
    <xf numFmtId="2" fontId="0" fillId="19" borderId="0" xfId="0" applyNumberFormat="1" applyFill="1" applyAlignment="1">
      <alignment horizontal="center" vertical="center"/>
    </xf>
    <xf numFmtId="2" fontId="0" fillId="14" borderId="0" xfId="0" applyNumberFormat="1" applyFill="1" applyAlignment="1">
      <alignment horizontal="center" vertical="center"/>
    </xf>
    <xf numFmtId="166" fontId="0" fillId="8" borderId="0" xfId="1" applyNumberFormat="1" applyFont="1" applyFill="1" applyAlignment="1">
      <alignment horizontal="center" vertical="center"/>
    </xf>
    <xf numFmtId="166" fontId="0" fillId="6" borderId="0" xfId="1" applyNumberFormat="1" applyFont="1" applyFill="1" applyAlignment="1">
      <alignment horizontal="center" vertical="center"/>
    </xf>
    <xf numFmtId="2" fontId="0" fillId="8" borderId="0" xfId="0" applyNumberFormat="1" applyFill="1" applyAlignment="1">
      <alignment horizontal="center" vertical="center"/>
    </xf>
    <xf numFmtId="167" fontId="0" fillId="8" borderId="0" xfId="0" applyNumberFormat="1" applyFill="1" applyAlignment="1">
      <alignment horizontal="center" vertical="center"/>
    </xf>
    <xf numFmtId="0" fontId="0" fillId="19" borderId="0" xfId="0" applyFill="1" applyAlignment="1">
      <alignment horizontal="left" vertical="center"/>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40" fillId="8" borderId="36" xfId="0" applyFont="1" applyFill="1" applyBorder="1" applyAlignment="1">
      <alignment horizontal="center" vertical="center" wrapText="1"/>
    </xf>
    <xf numFmtId="0" fontId="40" fillId="8" borderId="82" xfId="0" applyFont="1" applyFill="1" applyBorder="1" applyAlignment="1">
      <alignment horizontal="center" vertical="center" wrapText="1"/>
    </xf>
    <xf numFmtId="0" fontId="40" fillId="8" borderId="47" xfId="0" applyFont="1" applyFill="1" applyBorder="1" applyAlignment="1">
      <alignment horizontal="center" vertical="center" wrapText="1"/>
    </xf>
    <xf numFmtId="0" fontId="54" fillId="31" borderId="60" xfId="0" applyFont="1" applyFill="1" applyBorder="1" applyAlignment="1">
      <alignment horizontal="center" vertical="center" wrapText="1"/>
    </xf>
    <xf numFmtId="0" fontId="40" fillId="8" borderId="20" xfId="0" applyFont="1" applyFill="1" applyBorder="1" applyAlignment="1">
      <alignment horizontal="center" vertical="center" wrapText="1"/>
    </xf>
    <xf numFmtId="0" fontId="54" fillId="31" borderId="84" xfId="0" applyFont="1" applyFill="1" applyBorder="1" applyAlignment="1">
      <alignment horizontal="center" vertical="center" wrapText="1"/>
    </xf>
    <xf numFmtId="0" fontId="5" fillId="2" borderId="0" xfId="0" applyFont="1" applyFill="1" applyAlignment="1">
      <alignment horizontal="center" vertical="top" wrapText="1"/>
    </xf>
    <xf numFmtId="0" fontId="32" fillId="2" borderId="53" xfId="0" applyFont="1" applyFill="1" applyBorder="1" applyAlignment="1">
      <alignment horizontal="center" vertical="center" wrapText="1"/>
    </xf>
    <xf numFmtId="0" fontId="29" fillId="31" borderId="0" xfId="0" applyFont="1" applyFill="1" applyAlignment="1">
      <alignment horizontal="center" vertical="center" wrapText="1"/>
    </xf>
    <xf numFmtId="0" fontId="29" fillId="31" borderId="21" xfId="0" applyFont="1" applyFill="1" applyBorder="1" applyAlignment="1">
      <alignment horizontal="center" vertical="center" wrapText="1"/>
    </xf>
    <xf numFmtId="0" fontId="28" fillId="32" borderId="36" xfId="0" applyFont="1" applyFill="1" applyBorder="1" applyAlignment="1">
      <alignment horizontal="center" vertical="center" wrapText="1"/>
    </xf>
    <xf numFmtId="0" fontId="28" fillId="32" borderId="82" xfId="0" applyFont="1" applyFill="1" applyBorder="1" applyAlignment="1">
      <alignment horizontal="center" vertical="center" wrapText="1"/>
    </xf>
    <xf numFmtId="0" fontId="28" fillId="32" borderId="47" xfId="0" applyFont="1" applyFill="1" applyBorder="1" applyAlignment="1">
      <alignment horizontal="center" vertical="center" wrapText="1"/>
    </xf>
    <xf numFmtId="0" fontId="40" fillId="8" borderId="65" xfId="0" applyFont="1" applyFill="1" applyBorder="1" applyAlignment="1">
      <alignment horizontal="center" vertical="center" wrapText="1"/>
    </xf>
    <xf numFmtId="0" fontId="4" fillId="32" borderId="20" xfId="0" applyFont="1" applyFill="1" applyBorder="1" applyAlignment="1">
      <alignment horizontal="center" vertical="center" wrapText="1"/>
    </xf>
    <xf numFmtId="0" fontId="52" fillId="2" borderId="5" xfId="0" applyFont="1" applyFill="1" applyBorder="1" applyAlignment="1">
      <alignment horizontal="left" vertical="center" wrapText="1"/>
    </xf>
    <xf numFmtId="0" fontId="52" fillId="2" borderId="0" xfId="0" applyFont="1" applyFill="1" applyAlignment="1">
      <alignment horizontal="left" vertical="center" wrapText="1"/>
    </xf>
    <xf numFmtId="0" fontId="54" fillId="31" borderId="18" xfId="0" applyFont="1" applyFill="1" applyBorder="1" applyAlignment="1">
      <alignment horizontal="center" vertical="center" wrapText="1"/>
    </xf>
    <xf numFmtId="0" fontId="54" fillId="31" borderId="19" xfId="0" applyFont="1" applyFill="1" applyBorder="1" applyAlignment="1">
      <alignment horizontal="center" vertical="center" wrapText="1"/>
    </xf>
    <xf numFmtId="0" fontId="54" fillId="31" borderId="80" xfId="0" applyFont="1" applyFill="1" applyBorder="1" applyAlignment="1">
      <alignment horizontal="center" vertical="center" wrapText="1"/>
    </xf>
    <xf numFmtId="0" fontId="54" fillId="31" borderId="21" xfId="0" applyFont="1" applyFill="1" applyBorder="1" applyAlignment="1">
      <alignment horizontal="center" vertical="center" wrapText="1"/>
    </xf>
    <xf numFmtId="0" fontId="54" fillId="31" borderId="81" xfId="0" applyFont="1" applyFill="1" applyBorder="1" applyAlignment="1">
      <alignment horizontal="center" vertical="center" wrapText="1"/>
    </xf>
    <xf numFmtId="0" fontId="35" fillId="6" borderId="5" xfId="0" applyFont="1" applyFill="1" applyBorder="1" applyAlignment="1">
      <alignment horizontal="left" vertical="center" wrapText="1"/>
    </xf>
    <xf numFmtId="0" fontId="35" fillId="6" borderId="0" xfId="0" applyFont="1" applyFill="1" applyAlignment="1">
      <alignment horizontal="left" vertical="center" wrapText="1"/>
    </xf>
    <xf numFmtId="0" fontId="54" fillId="31" borderId="53" xfId="0" applyFont="1" applyFill="1" applyBorder="1" applyAlignment="1">
      <alignment horizontal="center" vertical="center" wrapText="1"/>
    </xf>
    <xf numFmtId="0" fontId="29" fillId="31" borderId="18" xfId="0" applyFont="1" applyFill="1" applyBorder="1" applyAlignment="1">
      <alignment horizontal="center" vertical="center" wrapText="1"/>
    </xf>
  </cellXfs>
  <cellStyles count="5">
    <cellStyle name="Gut" xfId="2" builtinId="26"/>
    <cellStyle name="Link" xfId="4" builtinId="8"/>
    <cellStyle name="Prozent" xfId="1" builtinId="5"/>
    <cellStyle name="Schlecht" xfId="3" builtinId="27"/>
    <cellStyle name="Standard" xfId="0" builtinId="0"/>
  </cellStyles>
  <dxfs count="69">
    <dxf>
      <fill>
        <patternFill>
          <bgColor rgb="FFFFC000"/>
        </patternFill>
      </fill>
    </dxf>
    <dxf>
      <fill>
        <patternFill>
          <bgColor rgb="FF00B050"/>
        </patternFill>
      </fill>
    </dxf>
    <dxf>
      <fill>
        <patternFill>
          <bgColor rgb="FFFF0000"/>
        </patternFill>
      </fill>
    </dxf>
    <dxf>
      <font>
        <b/>
        <i val="0"/>
        <color theme="2"/>
      </font>
      <fill>
        <patternFill>
          <bgColor rgb="FF00B050"/>
        </patternFill>
      </fill>
    </dxf>
    <dxf>
      <font>
        <b/>
        <i val="0"/>
        <color theme="2" tint="-0.24994659260841701"/>
      </font>
      <fill>
        <patternFill>
          <bgColor rgb="FFFFFF00"/>
        </patternFill>
      </fill>
    </dxf>
    <dxf>
      <font>
        <b/>
        <i val="0"/>
        <color theme="0"/>
      </font>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b/>
        <i val="0"/>
        <color theme="2"/>
      </font>
      <fill>
        <patternFill>
          <bgColor rgb="FF00B050"/>
        </patternFill>
      </fill>
    </dxf>
    <dxf>
      <font>
        <b/>
        <i val="0"/>
        <color theme="2" tint="-0.24994659260841701"/>
      </font>
      <fill>
        <patternFill>
          <bgColor rgb="FFFFFF00"/>
        </patternFill>
      </fill>
    </dxf>
    <dxf>
      <font>
        <b/>
        <i val="0"/>
        <color theme="0"/>
      </font>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CCCC"/>
        </patternFill>
      </fill>
    </dxf>
    <dxf>
      <fill>
        <patternFill>
          <bgColor rgb="FFFFFFCC"/>
        </patternFill>
      </fill>
    </dxf>
    <dxf>
      <fill>
        <patternFill>
          <bgColor rgb="FFFFCCCC"/>
        </patternFill>
      </fill>
    </dxf>
    <dxf>
      <fill>
        <patternFill>
          <bgColor rgb="FFFFFFCC"/>
        </patternFill>
      </fill>
    </dxf>
    <dxf>
      <fill>
        <patternFill>
          <bgColor rgb="FFFFCCCC"/>
        </patternFill>
      </fill>
    </dxf>
    <dxf>
      <fill>
        <patternFill>
          <bgColor rgb="FFFFFFCC"/>
        </patternFill>
      </fill>
    </dxf>
    <dxf>
      <fill>
        <patternFill>
          <bgColor rgb="FFFFCCCC"/>
        </patternFill>
      </fill>
    </dxf>
    <dxf>
      <fill>
        <patternFill>
          <bgColor rgb="FFFFFFCC"/>
        </patternFill>
      </fill>
    </dxf>
    <dxf>
      <fill>
        <patternFill>
          <bgColor rgb="FFFFFFCC"/>
        </patternFill>
      </fill>
    </dxf>
    <dxf>
      <fill>
        <patternFill>
          <bgColor rgb="FFFFFF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CBEDDF"/>
        </patternFill>
      </fill>
    </dxf>
    <dxf>
      <fill>
        <patternFill>
          <bgColor rgb="FFCBEDDF"/>
        </patternFill>
      </fill>
    </dxf>
  </dxfs>
  <tableStyles count="0" defaultTableStyle="TableStyleMedium2" defaultPivotStyle="PivotStyleLight16"/>
  <colors>
    <mruColors>
      <color rgb="FFFFCCCC"/>
      <color rgb="FFFFFFCC"/>
      <color rgb="FFBEFEDE"/>
      <color rgb="FFCCFFCC"/>
      <color rgb="FFE2EEFA"/>
      <color rgb="FFF8FBFE"/>
      <color rgb="FFEEF5FC"/>
      <color rgb="FFF5F5F5"/>
      <color rgb="FFFBFBFB"/>
      <color rgb="FFBFE5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137160</xdr:colOff>
      <xdr:row>2</xdr:row>
      <xdr:rowOff>0</xdr:rowOff>
    </xdr:from>
    <xdr:to>
      <xdr:col>4</xdr:col>
      <xdr:colOff>319855</xdr:colOff>
      <xdr:row>4</xdr:row>
      <xdr:rowOff>149979</xdr:rowOff>
    </xdr:to>
    <xdr:pic>
      <xdr:nvPicPr>
        <xdr:cNvPr id="2" name="Picture 37" descr="Logo_CMYK_pos">
          <a:extLst>
            <a:ext uri="{FF2B5EF4-FFF2-40B4-BE49-F238E27FC236}">
              <a16:creationId xmlns:a16="http://schemas.microsoft.com/office/drawing/2014/main" id="{4B748D11-CDCF-C0D4-216F-CCCCB5A76E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0600" y="320040"/>
          <a:ext cx="1886400" cy="479544"/>
        </a:xfrm>
        <a:prstGeom prst="rect">
          <a:avLst/>
        </a:prstGeom>
        <a:noFill/>
        <a:ln w="9525">
          <a:noFill/>
          <a:miter lim="800000"/>
          <a:headEnd/>
          <a:tailEnd/>
        </a:ln>
      </xdr:spPr>
    </xdr:pic>
    <xdr:clientData/>
  </xdr:twoCellAnchor>
  <xdr:twoCellAnchor>
    <xdr:from>
      <xdr:col>8</xdr:col>
      <xdr:colOff>640080</xdr:colOff>
      <xdr:row>2</xdr:row>
      <xdr:rowOff>38100</xdr:rowOff>
    </xdr:from>
    <xdr:to>
      <xdr:col>13</xdr:col>
      <xdr:colOff>500380</xdr:colOff>
      <xdr:row>8</xdr:row>
      <xdr:rowOff>90517</xdr:rowOff>
    </xdr:to>
    <xdr:sp macro="" textlink="">
      <xdr:nvSpPr>
        <xdr:cNvPr id="3" name="Text Box 32">
          <a:extLst>
            <a:ext uri="{FF2B5EF4-FFF2-40B4-BE49-F238E27FC236}">
              <a16:creationId xmlns:a16="http://schemas.microsoft.com/office/drawing/2014/main" id="{AB0C3E9A-5DB6-86BB-93EA-37D271BFC86D}"/>
            </a:ext>
          </a:extLst>
        </xdr:cNvPr>
        <xdr:cNvSpPr txBox="1">
          <a:spLocks noChangeArrowheads="1"/>
        </xdr:cNvSpPr>
      </xdr:nvSpPr>
      <xdr:spPr bwMode="auto">
        <a:xfrm>
          <a:off x="7200900" y="358140"/>
          <a:ext cx="4127500" cy="1012537"/>
        </a:xfrm>
        <a:prstGeom prst="rect">
          <a:avLst/>
        </a:prstGeom>
        <a:noFill/>
        <a:ln w="9525">
          <a:noFill/>
          <a:miter lim="800000"/>
          <a:headEnd/>
          <a:tailEnd/>
        </a:ln>
        <a:effectLst/>
      </xdr:spPr>
      <xdr:txBody>
        <a:bodyPr wrap="square" lIns="0" tIns="0" rIns="0" bIns="0">
          <a:spAutoFit/>
        </a:bodyPr>
        <a:lstStyle>
          <a:defPPr>
            <a:defRPr lang="de-CH"/>
          </a:defPPr>
          <a:lvl1pPr algn="l" rtl="0" eaLnBrk="0" fontAlgn="base" hangingPunct="0">
            <a:spcBef>
              <a:spcPct val="0"/>
            </a:spcBef>
            <a:spcAft>
              <a:spcPct val="0"/>
            </a:spcAft>
            <a:defRPr sz="2400" kern="1200">
              <a:solidFill>
                <a:schemeClr val="tx1"/>
              </a:solidFill>
              <a:latin typeface="Times"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pitchFamily="18" charset="0"/>
              <a:ea typeface="+mn-ea"/>
              <a:cs typeface="+mn-cs"/>
            </a:defRPr>
          </a:lvl5pPr>
          <a:lvl6pPr marL="2286000" algn="l" defTabSz="914400" rtl="0" eaLnBrk="1" latinLnBrk="0" hangingPunct="1">
            <a:defRPr sz="2400" kern="1200">
              <a:solidFill>
                <a:schemeClr val="tx1"/>
              </a:solidFill>
              <a:latin typeface="Times" pitchFamily="18" charset="0"/>
              <a:ea typeface="+mn-ea"/>
              <a:cs typeface="+mn-cs"/>
            </a:defRPr>
          </a:lvl6pPr>
          <a:lvl7pPr marL="2743200" algn="l" defTabSz="914400" rtl="0" eaLnBrk="1" latinLnBrk="0" hangingPunct="1">
            <a:defRPr sz="2400" kern="1200">
              <a:solidFill>
                <a:schemeClr val="tx1"/>
              </a:solidFill>
              <a:latin typeface="Times" pitchFamily="18" charset="0"/>
              <a:ea typeface="+mn-ea"/>
              <a:cs typeface="+mn-cs"/>
            </a:defRPr>
          </a:lvl7pPr>
          <a:lvl8pPr marL="3200400" algn="l" defTabSz="914400" rtl="0" eaLnBrk="1" latinLnBrk="0" hangingPunct="1">
            <a:defRPr sz="2400" kern="1200">
              <a:solidFill>
                <a:schemeClr val="tx1"/>
              </a:solidFill>
              <a:latin typeface="Times" pitchFamily="18" charset="0"/>
              <a:ea typeface="+mn-ea"/>
              <a:cs typeface="+mn-cs"/>
            </a:defRPr>
          </a:lvl8pPr>
          <a:lvl9pPr marL="3657600" algn="l" defTabSz="914400" rtl="0" eaLnBrk="1" latinLnBrk="0" hangingPunct="1">
            <a:defRPr sz="2400" kern="1200">
              <a:solidFill>
                <a:schemeClr val="tx1"/>
              </a:solidFill>
              <a:latin typeface="Times" pitchFamily="18" charset="0"/>
              <a:ea typeface="+mn-ea"/>
              <a:cs typeface="+mn-cs"/>
            </a:defRPr>
          </a:lvl9pPr>
        </a:lstStyle>
        <a:p>
          <a:pPr>
            <a:lnSpc>
              <a:spcPts val="1000"/>
            </a:lnSpc>
            <a:spcBef>
              <a:spcPts val="0"/>
            </a:spcBef>
            <a:spcAft>
              <a:spcPts val="400"/>
            </a:spcAft>
          </a:pPr>
          <a:r>
            <a:rPr lang="fr-CH" sz="800" b="0" cap="none">
              <a:latin typeface="Arial"/>
              <a:ea typeface="Arial"/>
              <a:cs typeface="Arial"/>
              <a:sym typeface="Arial"/>
            </a:rPr>
            <a:t>Département fédéral de l’environnement, des transports,</a:t>
          </a:r>
          <a:br>
            <a:rPr lang="fr-CH" sz="800" b="0" cap="none">
              <a:latin typeface="Arial"/>
              <a:ea typeface="Arial"/>
              <a:cs typeface="Arial"/>
              <a:sym typeface="Arial"/>
            </a:rPr>
          </a:br>
          <a:r>
            <a:rPr lang="fr-CH" sz="800" b="0" cap="none">
              <a:latin typeface="Arial"/>
              <a:ea typeface="Arial"/>
              <a:cs typeface="Arial"/>
              <a:sym typeface="Arial"/>
            </a:rPr>
            <a:t>de l’énergie et de la communication (DETEC)</a:t>
          </a:r>
        </a:p>
        <a:p>
          <a:pPr marL="0" marR="0" lvl="0" indent="0" algn="l" defTabSz="914400" rtl="0" eaLnBrk="0" fontAlgn="base" latinLnBrk="0" hangingPunct="0">
            <a:lnSpc>
              <a:spcPts val="1000"/>
            </a:lnSpc>
            <a:spcBef>
              <a:spcPts val="0"/>
            </a:spcBef>
            <a:spcAft>
              <a:spcPct val="0"/>
            </a:spcAft>
            <a:buClrTx/>
            <a:buSzTx/>
            <a:buFontTx/>
            <a:buNone/>
            <a:tabLst/>
            <a:defRPr/>
          </a:pPr>
          <a:r>
            <a:rPr lang="fr-CH" sz="800" b="1" cap="none">
              <a:latin typeface="Arial"/>
              <a:ea typeface="Arial"/>
              <a:cs typeface="Arial"/>
              <a:sym typeface="Arial"/>
            </a:rPr>
            <a:t>Office fédéral des routes (OFROU)</a:t>
          </a:r>
        </a:p>
        <a:p>
          <a:pPr marL="0" marR="0" lvl="0" indent="0" algn="l" defTabSz="914400" rtl="0" eaLnBrk="0" fontAlgn="base" latinLnBrk="0" hangingPunct="0">
            <a:lnSpc>
              <a:spcPts val="1000"/>
            </a:lnSpc>
            <a:spcBef>
              <a:spcPts val="0"/>
            </a:spcBef>
            <a:spcAft>
              <a:spcPct val="0"/>
            </a:spcAft>
            <a:buClrTx/>
            <a:buSzTx/>
            <a:buFontTx/>
            <a:buNone/>
            <a:tabLst/>
            <a:defRPr/>
          </a:pPr>
          <a:r>
            <a:rPr lang="fr-CH" sz="800" b="0" cap="none">
              <a:latin typeface="Arial"/>
              <a:ea typeface="Arial"/>
              <a:cs typeface="Arial"/>
              <a:sym typeface="Arial"/>
            </a:rPr>
            <a:t>Division Circulation routière</a:t>
          </a:r>
        </a:p>
      </xdr:txBody>
    </xdr:sp>
    <xdr:clientData/>
  </xdr:twoCellAnchor>
  <xdr:twoCellAnchor>
    <xdr:from>
      <xdr:col>2</xdr:col>
      <xdr:colOff>28721</xdr:colOff>
      <xdr:row>21</xdr:row>
      <xdr:rowOff>150056</xdr:rowOff>
    </xdr:from>
    <xdr:to>
      <xdr:col>12</xdr:col>
      <xdr:colOff>501161</xdr:colOff>
      <xdr:row>48</xdr:row>
      <xdr:rowOff>287216</xdr:rowOff>
    </xdr:to>
    <xdr:sp macro="" textlink="">
      <xdr:nvSpPr>
        <xdr:cNvPr id="97" name="Rechteck 42">
          <a:extLst>
            <a:ext uri="{FF2B5EF4-FFF2-40B4-BE49-F238E27FC236}">
              <a16:creationId xmlns:a16="http://schemas.microsoft.com/office/drawing/2014/main" id="{7F76AE8F-F5EA-1FB0-0225-41E05E2966E2}"/>
            </a:ext>
          </a:extLst>
        </xdr:cNvPr>
        <xdr:cNvSpPr/>
      </xdr:nvSpPr>
      <xdr:spPr>
        <a:xfrm>
          <a:off x="1470659" y="4118318"/>
          <a:ext cx="9088902" cy="4410221"/>
        </a:xfrm>
        <a:prstGeom prst="rect">
          <a:avLst/>
        </a:prstGeom>
        <a:solidFill>
          <a:schemeClr val="bg1">
            <a:lumMod val="95000"/>
          </a:schemeClr>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kern="1200"/>
        </a:p>
      </xdr:txBody>
    </xdr:sp>
    <xdr:clientData/>
  </xdr:twoCellAnchor>
  <xdr:twoCellAnchor editAs="oneCell">
    <xdr:from>
      <xdr:col>2</xdr:col>
      <xdr:colOff>400050</xdr:colOff>
      <xdr:row>23</xdr:row>
      <xdr:rowOff>12800</xdr:rowOff>
    </xdr:from>
    <xdr:to>
      <xdr:col>11</xdr:col>
      <xdr:colOff>696299</xdr:colOff>
      <xdr:row>48</xdr:row>
      <xdr:rowOff>130624</xdr:rowOff>
    </xdr:to>
    <xdr:pic>
      <xdr:nvPicPr>
        <xdr:cNvPr id="7" name="Grafik 6">
          <a:extLst>
            <a:ext uri="{FF2B5EF4-FFF2-40B4-BE49-F238E27FC236}">
              <a16:creationId xmlns:a16="http://schemas.microsoft.com/office/drawing/2014/main" id="{1ADE4E0A-D9B4-EA18-ACE8-87225A2B93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647825" y="4118075"/>
          <a:ext cx="6982799" cy="3927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xdr:colOff>
      <xdr:row>2</xdr:row>
      <xdr:rowOff>99060</xdr:rowOff>
    </xdr:from>
    <xdr:to>
      <xdr:col>3</xdr:col>
      <xdr:colOff>1179056</xdr:colOff>
      <xdr:row>5</xdr:row>
      <xdr:rowOff>116006</xdr:rowOff>
    </xdr:to>
    <xdr:pic>
      <xdr:nvPicPr>
        <xdr:cNvPr id="3" name="Picture 37" descr="Logo_CMYK_pos">
          <a:extLst>
            <a:ext uri="{FF2B5EF4-FFF2-40B4-BE49-F238E27FC236}">
              <a16:creationId xmlns:a16="http://schemas.microsoft.com/office/drawing/2014/main" id="{3D98175C-8BCD-4705-A708-968B25E33B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29280" y="416560"/>
          <a:ext cx="1959789" cy="488434"/>
        </a:xfrm>
        <a:prstGeom prst="rect">
          <a:avLst/>
        </a:prstGeom>
        <a:noFill/>
        <a:ln w="9525">
          <a:noFill/>
          <a:miter lim="800000"/>
          <a:headEnd/>
          <a:tailEnd/>
        </a:ln>
      </xdr:spPr>
    </xdr:pic>
    <xdr:clientData/>
  </xdr:twoCellAnchor>
  <xdr:twoCellAnchor>
    <xdr:from>
      <xdr:col>7</xdr:col>
      <xdr:colOff>2499360</xdr:colOff>
      <xdr:row>2</xdr:row>
      <xdr:rowOff>83820</xdr:rowOff>
    </xdr:from>
    <xdr:to>
      <xdr:col>11</xdr:col>
      <xdr:colOff>434340</xdr:colOff>
      <xdr:row>5</xdr:row>
      <xdr:rowOff>157694</xdr:rowOff>
    </xdr:to>
    <xdr:sp macro="" textlink="">
      <xdr:nvSpPr>
        <xdr:cNvPr id="5" name="Text Box 32">
          <a:extLst>
            <a:ext uri="{FF2B5EF4-FFF2-40B4-BE49-F238E27FC236}">
              <a16:creationId xmlns:a16="http://schemas.microsoft.com/office/drawing/2014/main" id="{FCB99CC0-395E-4C98-B8CE-9FC9D14D876B}"/>
            </a:ext>
          </a:extLst>
        </xdr:cNvPr>
        <xdr:cNvSpPr txBox="1">
          <a:spLocks noChangeArrowheads="1"/>
        </xdr:cNvSpPr>
      </xdr:nvSpPr>
      <xdr:spPr bwMode="auto">
        <a:xfrm>
          <a:off x="14665960" y="401320"/>
          <a:ext cx="3973830" cy="550124"/>
        </a:xfrm>
        <a:prstGeom prst="rect">
          <a:avLst/>
        </a:prstGeom>
        <a:noFill/>
        <a:ln w="9525">
          <a:noFill/>
          <a:miter lim="800000"/>
          <a:headEnd/>
          <a:tailEnd/>
        </a:ln>
        <a:effectLst/>
      </xdr:spPr>
      <xdr:txBody>
        <a:bodyPr wrap="square" lIns="0" tIns="0" rIns="0" bIns="0">
          <a:spAutoFit/>
        </a:bodyPr>
        <a:lstStyle>
          <a:defPPr>
            <a:defRPr lang="de-CH"/>
          </a:defPPr>
          <a:lvl1pPr algn="l" rtl="0" eaLnBrk="0" fontAlgn="base" hangingPunct="0">
            <a:spcBef>
              <a:spcPct val="0"/>
            </a:spcBef>
            <a:spcAft>
              <a:spcPct val="0"/>
            </a:spcAft>
            <a:defRPr sz="2400" kern="1200">
              <a:solidFill>
                <a:schemeClr val="tx1"/>
              </a:solidFill>
              <a:latin typeface="Times"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pitchFamily="18" charset="0"/>
              <a:ea typeface="+mn-ea"/>
              <a:cs typeface="+mn-cs"/>
            </a:defRPr>
          </a:lvl5pPr>
          <a:lvl6pPr marL="2286000" algn="l" defTabSz="914400" rtl="0" eaLnBrk="1" latinLnBrk="0" hangingPunct="1">
            <a:defRPr sz="2400" kern="1200">
              <a:solidFill>
                <a:schemeClr val="tx1"/>
              </a:solidFill>
              <a:latin typeface="Times" pitchFamily="18" charset="0"/>
              <a:ea typeface="+mn-ea"/>
              <a:cs typeface="+mn-cs"/>
            </a:defRPr>
          </a:lvl6pPr>
          <a:lvl7pPr marL="2743200" algn="l" defTabSz="914400" rtl="0" eaLnBrk="1" latinLnBrk="0" hangingPunct="1">
            <a:defRPr sz="2400" kern="1200">
              <a:solidFill>
                <a:schemeClr val="tx1"/>
              </a:solidFill>
              <a:latin typeface="Times" pitchFamily="18" charset="0"/>
              <a:ea typeface="+mn-ea"/>
              <a:cs typeface="+mn-cs"/>
            </a:defRPr>
          </a:lvl7pPr>
          <a:lvl8pPr marL="3200400" algn="l" defTabSz="914400" rtl="0" eaLnBrk="1" latinLnBrk="0" hangingPunct="1">
            <a:defRPr sz="2400" kern="1200">
              <a:solidFill>
                <a:schemeClr val="tx1"/>
              </a:solidFill>
              <a:latin typeface="Times" pitchFamily="18" charset="0"/>
              <a:ea typeface="+mn-ea"/>
              <a:cs typeface="+mn-cs"/>
            </a:defRPr>
          </a:lvl8pPr>
          <a:lvl9pPr marL="3657600" algn="l" defTabSz="914400" rtl="0" eaLnBrk="1" latinLnBrk="0" hangingPunct="1">
            <a:defRPr sz="2400" kern="1200">
              <a:solidFill>
                <a:schemeClr val="tx1"/>
              </a:solidFill>
              <a:latin typeface="Times" pitchFamily="18" charset="0"/>
              <a:ea typeface="+mn-ea"/>
              <a:cs typeface="+mn-cs"/>
            </a:defRPr>
          </a:lvl9pPr>
        </a:lstStyle>
        <a:p>
          <a:pPr>
            <a:lnSpc>
              <a:spcPts val="1000"/>
            </a:lnSpc>
            <a:spcBef>
              <a:spcPts val="0"/>
            </a:spcBef>
            <a:spcAft>
              <a:spcPts val="400"/>
            </a:spcAft>
          </a:pPr>
          <a:r>
            <a:rPr lang="fr-CH" sz="800" b="0" cap="none">
              <a:latin typeface="Arial"/>
              <a:ea typeface="Arial"/>
              <a:cs typeface="Arial"/>
              <a:sym typeface="Arial"/>
            </a:rPr>
            <a:t>Département fédéral de l’environnement, des transports,</a:t>
          </a:r>
          <a:br>
            <a:rPr lang="fr-CH" sz="800" b="0" cap="none">
              <a:latin typeface="Arial"/>
              <a:ea typeface="Arial"/>
              <a:cs typeface="Arial"/>
              <a:sym typeface="Arial"/>
            </a:rPr>
          </a:br>
          <a:r>
            <a:rPr lang="fr-CH" sz="800" b="0" cap="none">
              <a:latin typeface="Arial"/>
              <a:ea typeface="Arial"/>
              <a:cs typeface="Arial"/>
              <a:sym typeface="Arial"/>
            </a:rPr>
            <a:t>de l’énergie et de la communication (DETEC)</a:t>
          </a:r>
        </a:p>
        <a:p>
          <a:pPr marL="0" marR="0" lvl="0" indent="0" algn="l" defTabSz="914400" rtl="0" eaLnBrk="0" fontAlgn="base" latinLnBrk="0" hangingPunct="0">
            <a:lnSpc>
              <a:spcPts val="1000"/>
            </a:lnSpc>
            <a:spcBef>
              <a:spcPts val="0"/>
            </a:spcBef>
            <a:spcAft>
              <a:spcPct val="0"/>
            </a:spcAft>
            <a:buClrTx/>
            <a:buSzTx/>
            <a:buFontTx/>
            <a:buNone/>
            <a:tabLst/>
            <a:defRPr/>
          </a:pPr>
          <a:r>
            <a:rPr lang="fr-CH" sz="800" b="1" cap="none">
              <a:latin typeface="Arial"/>
              <a:ea typeface="Arial"/>
              <a:cs typeface="Arial"/>
              <a:sym typeface="Arial"/>
            </a:rPr>
            <a:t>Office fédéral des routes (OFROU)</a:t>
          </a:r>
        </a:p>
        <a:p>
          <a:pPr marL="0" marR="0" lvl="0" indent="0" algn="l" defTabSz="914400" rtl="0" eaLnBrk="0" fontAlgn="base" latinLnBrk="0" hangingPunct="0">
            <a:lnSpc>
              <a:spcPts val="1000"/>
            </a:lnSpc>
            <a:spcBef>
              <a:spcPts val="0"/>
            </a:spcBef>
            <a:spcAft>
              <a:spcPct val="0"/>
            </a:spcAft>
            <a:buClrTx/>
            <a:buSzTx/>
            <a:buFontTx/>
            <a:buNone/>
            <a:tabLst/>
            <a:defRPr/>
          </a:pPr>
          <a:r>
            <a:rPr lang="fr-CH" sz="800" b="0" cap="none">
              <a:latin typeface="Arial"/>
              <a:ea typeface="Arial"/>
              <a:cs typeface="Arial"/>
              <a:sym typeface="Arial"/>
            </a:rPr>
            <a:t>Division Circulation routière</a:t>
          </a:r>
        </a:p>
      </xdr:txBody>
    </xdr:sp>
    <xdr:clientData/>
  </xdr:twoCellAnchor>
  <xdr:twoCellAnchor editAs="oneCell">
    <xdr:from>
      <xdr:col>3</xdr:col>
      <xdr:colOff>770005</xdr:colOff>
      <xdr:row>172</xdr:row>
      <xdr:rowOff>1623126</xdr:rowOff>
    </xdr:from>
    <xdr:to>
      <xdr:col>3</xdr:col>
      <xdr:colOff>3952488</xdr:colOff>
      <xdr:row>172</xdr:row>
      <xdr:rowOff>4136035</xdr:rowOff>
    </xdr:to>
    <xdr:pic>
      <xdr:nvPicPr>
        <xdr:cNvPr id="2" name="Grafik 1">
          <a:extLst>
            <a:ext uri="{FF2B5EF4-FFF2-40B4-BE49-F238E27FC236}">
              <a16:creationId xmlns:a16="http://schemas.microsoft.com/office/drawing/2014/main" id="{9CE41B7D-729F-F356-1EF4-017D94636860}"/>
            </a:ext>
          </a:extLst>
        </xdr:cNvPr>
        <xdr:cNvPicPr>
          <a:picLocks noChangeAspect="1"/>
        </xdr:cNvPicPr>
      </xdr:nvPicPr>
      <xdr:blipFill rotWithShape="1">
        <a:blip xmlns:r="http://schemas.openxmlformats.org/officeDocument/2006/relationships" r:embed="rId2"/>
        <a:srcRect l="1523" r="2031" b="9596"/>
        <a:stretch>
          <a:fillRect/>
        </a:stretch>
      </xdr:blipFill>
      <xdr:spPr>
        <a:xfrm>
          <a:off x="5110417" y="186692008"/>
          <a:ext cx="3182483" cy="2512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137160</xdr:colOff>
      <xdr:row>2</xdr:row>
      <xdr:rowOff>38100</xdr:rowOff>
    </xdr:from>
    <xdr:to>
      <xdr:col>2</xdr:col>
      <xdr:colOff>2027143</xdr:colOff>
      <xdr:row>5</xdr:row>
      <xdr:rowOff>37584</xdr:rowOff>
    </xdr:to>
    <xdr:pic>
      <xdr:nvPicPr>
        <xdr:cNvPr id="2" name="Picture 37" descr="Logo_CMYK_pos">
          <a:extLst>
            <a:ext uri="{FF2B5EF4-FFF2-40B4-BE49-F238E27FC236}">
              <a16:creationId xmlns:a16="http://schemas.microsoft.com/office/drawing/2014/main" id="{54579F1B-79A9-4FC9-B925-712E030069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4960" y="355600"/>
          <a:ext cx="1886400" cy="475734"/>
        </a:xfrm>
        <a:prstGeom prst="rect">
          <a:avLst/>
        </a:prstGeom>
        <a:noFill/>
        <a:ln w="9525">
          <a:noFill/>
          <a:miter lim="800000"/>
          <a:headEnd/>
          <a:tailEnd/>
        </a:ln>
      </xdr:spPr>
    </xdr:pic>
    <xdr:clientData/>
  </xdr:twoCellAnchor>
  <xdr:twoCellAnchor>
    <xdr:from>
      <xdr:col>15</xdr:col>
      <xdr:colOff>0</xdr:colOff>
      <xdr:row>2</xdr:row>
      <xdr:rowOff>53340</xdr:rowOff>
    </xdr:from>
    <xdr:to>
      <xdr:col>26</xdr:col>
      <xdr:colOff>0</xdr:colOff>
      <xdr:row>5</xdr:row>
      <xdr:rowOff>111974</xdr:rowOff>
    </xdr:to>
    <xdr:sp macro="" textlink="">
      <xdr:nvSpPr>
        <xdr:cNvPr id="3" name="Text Box 32">
          <a:extLst>
            <a:ext uri="{FF2B5EF4-FFF2-40B4-BE49-F238E27FC236}">
              <a16:creationId xmlns:a16="http://schemas.microsoft.com/office/drawing/2014/main" id="{3104B83B-39E8-4946-A48C-5E32997E2FB7}"/>
            </a:ext>
          </a:extLst>
        </xdr:cNvPr>
        <xdr:cNvSpPr txBox="1">
          <a:spLocks noChangeArrowheads="1"/>
        </xdr:cNvSpPr>
      </xdr:nvSpPr>
      <xdr:spPr bwMode="auto">
        <a:xfrm>
          <a:off x="22783800" y="383540"/>
          <a:ext cx="18237200" cy="553934"/>
        </a:xfrm>
        <a:prstGeom prst="rect">
          <a:avLst/>
        </a:prstGeom>
        <a:noFill/>
        <a:ln w="9525">
          <a:noFill/>
          <a:miter lim="800000"/>
          <a:headEnd/>
          <a:tailEnd/>
        </a:ln>
        <a:effectLst/>
      </xdr:spPr>
      <xdr:txBody>
        <a:bodyPr wrap="square" lIns="0" tIns="0" rIns="0" bIns="0">
          <a:spAutoFit/>
        </a:bodyPr>
        <a:lstStyle>
          <a:defPPr>
            <a:defRPr lang="de-CH"/>
          </a:defPPr>
          <a:lvl1pPr algn="l" rtl="0" eaLnBrk="0" fontAlgn="base" hangingPunct="0">
            <a:spcBef>
              <a:spcPct val="0"/>
            </a:spcBef>
            <a:spcAft>
              <a:spcPct val="0"/>
            </a:spcAft>
            <a:defRPr sz="2400" kern="1200">
              <a:solidFill>
                <a:schemeClr val="tx1"/>
              </a:solidFill>
              <a:latin typeface="Times"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pitchFamily="18" charset="0"/>
              <a:ea typeface="+mn-ea"/>
              <a:cs typeface="+mn-cs"/>
            </a:defRPr>
          </a:lvl5pPr>
          <a:lvl6pPr marL="2286000" algn="l" defTabSz="914400" rtl="0" eaLnBrk="1" latinLnBrk="0" hangingPunct="1">
            <a:defRPr sz="2400" kern="1200">
              <a:solidFill>
                <a:schemeClr val="tx1"/>
              </a:solidFill>
              <a:latin typeface="Times" pitchFamily="18" charset="0"/>
              <a:ea typeface="+mn-ea"/>
              <a:cs typeface="+mn-cs"/>
            </a:defRPr>
          </a:lvl6pPr>
          <a:lvl7pPr marL="2743200" algn="l" defTabSz="914400" rtl="0" eaLnBrk="1" latinLnBrk="0" hangingPunct="1">
            <a:defRPr sz="2400" kern="1200">
              <a:solidFill>
                <a:schemeClr val="tx1"/>
              </a:solidFill>
              <a:latin typeface="Times" pitchFamily="18" charset="0"/>
              <a:ea typeface="+mn-ea"/>
              <a:cs typeface="+mn-cs"/>
            </a:defRPr>
          </a:lvl7pPr>
          <a:lvl8pPr marL="3200400" algn="l" defTabSz="914400" rtl="0" eaLnBrk="1" latinLnBrk="0" hangingPunct="1">
            <a:defRPr sz="2400" kern="1200">
              <a:solidFill>
                <a:schemeClr val="tx1"/>
              </a:solidFill>
              <a:latin typeface="Times" pitchFamily="18" charset="0"/>
              <a:ea typeface="+mn-ea"/>
              <a:cs typeface="+mn-cs"/>
            </a:defRPr>
          </a:lvl8pPr>
          <a:lvl9pPr marL="3657600" algn="l" defTabSz="914400" rtl="0" eaLnBrk="1" latinLnBrk="0" hangingPunct="1">
            <a:defRPr sz="2400" kern="1200">
              <a:solidFill>
                <a:schemeClr val="tx1"/>
              </a:solidFill>
              <a:latin typeface="Times" pitchFamily="18" charset="0"/>
              <a:ea typeface="+mn-ea"/>
              <a:cs typeface="+mn-cs"/>
            </a:defRPr>
          </a:lvl9pPr>
        </a:lstStyle>
        <a:p>
          <a:pPr algn="r">
            <a:lnSpc>
              <a:spcPts val="1000"/>
            </a:lnSpc>
            <a:spcBef>
              <a:spcPts val="0"/>
            </a:spcBef>
            <a:spcAft>
              <a:spcPts val="400"/>
            </a:spcAft>
          </a:pPr>
          <a:r>
            <a:rPr lang="fr-CH" sz="800" b="0" cap="none">
              <a:latin typeface="Arial"/>
              <a:ea typeface="Arial"/>
              <a:cs typeface="Arial"/>
              <a:sym typeface="Arial"/>
            </a:rPr>
            <a:t>Département fédéral de l’environnement, des transports,</a:t>
          </a:r>
          <a:br>
            <a:rPr lang="fr-CH" sz="800" b="0" cap="none">
              <a:latin typeface="Arial"/>
              <a:ea typeface="Arial"/>
              <a:cs typeface="Arial"/>
              <a:sym typeface="Arial"/>
            </a:rPr>
          </a:br>
          <a:r>
            <a:rPr lang="fr-CH" sz="800" b="0" cap="none">
              <a:latin typeface="Arial"/>
              <a:ea typeface="Arial"/>
              <a:cs typeface="Arial"/>
              <a:sym typeface="Arial"/>
            </a:rPr>
            <a:t>de l’énergie et de la communication (DETEC)</a:t>
          </a:r>
        </a:p>
        <a:p>
          <a:pPr marL="0" marR="0" lvl="0" indent="0" algn="r" defTabSz="914400" rtl="0" eaLnBrk="0" fontAlgn="base" latinLnBrk="0" hangingPunct="0">
            <a:lnSpc>
              <a:spcPts val="1000"/>
            </a:lnSpc>
            <a:spcBef>
              <a:spcPts val="0"/>
            </a:spcBef>
            <a:spcAft>
              <a:spcPct val="0"/>
            </a:spcAft>
            <a:buClrTx/>
            <a:buSzTx/>
            <a:buFontTx/>
            <a:buNone/>
            <a:tabLst/>
            <a:defRPr/>
          </a:pPr>
          <a:r>
            <a:rPr lang="fr-CH" sz="800" b="1" cap="none">
              <a:latin typeface="Arial"/>
              <a:ea typeface="Arial"/>
              <a:cs typeface="Arial"/>
              <a:sym typeface="Arial"/>
            </a:rPr>
            <a:t>Office fédéral des routes (OFROU)</a:t>
          </a:r>
        </a:p>
        <a:p>
          <a:pPr marL="0" marR="0" lvl="0" indent="0" algn="r" defTabSz="914400" rtl="0" eaLnBrk="0" fontAlgn="base" latinLnBrk="0" hangingPunct="0">
            <a:lnSpc>
              <a:spcPts val="1000"/>
            </a:lnSpc>
            <a:spcBef>
              <a:spcPts val="0"/>
            </a:spcBef>
            <a:spcAft>
              <a:spcPct val="0"/>
            </a:spcAft>
            <a:buClrTx/>
            <a:buSzTx/>
            <a:buFontTx/>
            <a:buNone/>
            <a:tabLst/>
            <a:defRPr/>
          </a:pPr>
          <a:r>
            <a:rPr lang="fr-CH" sz="800" b="0" cap="none">
              <a:latin typeface="Arial"/>
              <a:ea typeface="Arial"/>
              <a:cs typeface="Arial"/>
              <a:sym typeface="Arial"/>
            </a:rPr>
            <a:t>Division Circulation routière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137160</xdr:colOff>
      <xdr:row>2</xdr:row>
      <xdr:rowOff>38100</xdr:rowOff>
    </xdr:from>
    <xdr:to>
      <xdr:col>3</xdr:col>
      <xdr:colOff>149673</xdr:colOff>
      <xdr:row>5</xdr:row>
      <xdr:rowOff>37584</xdr:rowOff>
    </xdr:to>
    <xdr:pic>
      <xdr:nvPicPr>
        <xdr:cNvPr id="2" name="Picture 37" descr="Logo_CMYK_pos">
          <a:extLst>
            <a:ext uri="{FF2B5EF4-FFF2-40B4-BE49-F238E27FC236}">
              <a16:creationId xmlns:a16="http://schemas.microsoft.com/office/drawing/2014/main" id="{0A3855ED-0204-4DDE-BFE8-217424EF28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8135" y="361950"/>
          <a:ext cx="1882046" cy="485259"/>
        </a:xfrm>
        <a:prstGeom prst="rect">
          <a:avLst/>
        </a:prstGeom>
        <a:noFill/>
        <a:ln w="9525">
          <a:noFill/>
          <a:miter lim="800000"/>
          <a:headEnd/>
          <a:tailEnd/>
        </a:ln>
      </xdr:spPr>
    </xdr:pic>
    <xdr:clientData/>
  </xdr:twoCellAnchor>
  <xdr:twoCellAnchor>
    <xdr:from>
      <xdr:col>20</xdr:col>
      <xdr:colOff>605451</xdr:colOff>
      <xdr:row>3</xdr:row>
      <xdr:rowOff>8288</xdr:rowOff>
    </xdr:from>
    <xdr:to>
      <xdr:col>24</xdr:col>
      <xdr:colOff>2276328</xdr:colOff>
      <xdr:row>7</xdr:row>
      <xdr:rowOff>7174</xdr:rowOff>
    </xdr:to>
    <xdr:sp macro="" textlink="">
      <xdr:nvSpPr>
        <xdr:cNvPr id="4" name="Text Box 32">
          <a:extLst>
            <a:ext uri="{FF2B5EF4-FFF2-40B4-BE49-F238E27FC236}">
              <a16:creationId xmlns:a16="http://schemas.microsoft.com/office/drawing/2014/main" id="{1B7C97DC-9762-4469-8FA3-B6659D863032}"/>
            </a:ext>
          </a:extLst>
        </xdr:cNvPr>
        <xdr:cNvSpPr txBox="1">
          <a:spLocks noChangeArrowheads="1"/>
        </xdr:cNvSpPr>
      </xdr:nvSpPr>
      <xdr:spPr bwMode="auto">
        <a:xfrm>
          <a:off x="31968678" y="475879"/>
          <a:ext cx="9429423" cy="535750"/>
        </a:xfrm>
        <a:prstGeom prst="rect">
          <a:avLst/>
        </a:prstGeom>
        <a:noFill/>
        <a:ln w="9525">
          <a:noFill/>
          <a:miter lim="800000"/>
          <a:headEnd/>
          <a:tailEnd/>
        </a:ln>
        <a:effectLst/>
      </xdr:spPr>
      <xdr:txBody>
        <a:bodyPr wrap="square" lIns="0" tIns="0" rIns="0" bIns="0">
          <a:spAutoFit/>
        </a:bodyPr>
        <a:lstStyle>
          <a:defPPr>
            <a:defRPr lang="de-CH"/>
          </a:defPPr>
          <a:lvl1pPr algn="l" rtl="0" eaLnBrk="0" fontAlgn="base" hangingPunct="0">
            <a:spcBef>
              <a:spcPct val="0"/>
            </a:spcBef>
            <a:spcAft>
              <a:spcPct val="0"/>
            </a:spcAft>
            <a:defRPr sz="2400" kern="1200">
              <a:solidFill>
                <a:schemeClr val="tx1"/>
              </a:solidFill>
              <a:latin typeface="Times" pitchFamily="18" charset="0"/>
              <a:ea typeface="+mn-ea"/>
              <a:cs typeface="+mn-cs"/>
            </a:defRPr>
          </a:lvl1pPr>
          <a:lvl2pPr marL="457200" algn="l" rtl="0" eaLnBrk="0" fontAlgn="base" hangingPunct="0">
            <a:spcBef>
              <a:spcPct val="0"/>
            </a:spcBef>
            <a:spcAft>
              <a:spcPct val="0"/>
            </a:spcAft>
            <a:defRPr sz="2400" kern="1200">
              <a:solidFill>
                <a:schemeClr val="tx1"/>
              </a:solidFill>
              <a:latin typeface="Times" pitchFamily="18" charset="0"/>
              <a:ea typeface="+mn-ea"/>
              <a:cs typeface="+mn-cs"/>
            </a:defRPr>
          </a:lvl2pPr>
          <a:lvl3pPr marL="914400" algn="l" rtl="0" eaLnBrk="0" fontAlgn="base" hangingPunct="0">
            <a:spcBef>
              <a:spcPct val="0"/>
            </a:spcBef>
            <a:spcAft>
              <a:spcPct val="0"/>
            </a:spcAft>
            <a:defRPr sz="2400" kern="1200">
              <a:solidFill>
                <a:schemeClr val="tx1"/>
              </a:solidFill>
              <a:latin typeface="Times" pitchFamily="18" charset="0"/>
              <a:ea typeface="+mn-ea"/>
              <a:cs typeface="+mn-cs"/>
            </a:defRPr>
          </a:lvl3pPr>
          <a:lvl4pPr marL="1371600" algn="l" rtl="0" eaLnBrk="0" fontAlgn="base" hangingPunct="0">
            <a:spcBef>
              <a:spcPct val="0"/>
            </a:spcBef>
            <a:spcAft>
              <a:spcPct val="0"/>
            </a:spcAft>
            <a:defRPr sz="2400" kern="1200">
              <a:solidFill>
                <a:schemeClr val="tx1"/>
              </a:solidFill>
              <a:latin typeface="Times" pitchFamily="18" charset="0"/>
              <a:ea typeface="+mn-ea"/>
              <a:cs typeface="+mn-cs"/>
            </a:defRPr>
          </a:lvl4pPr>
          <a:lvl5pPr marL="1828800" algn="l" rtl="0" eaLnBrk="0" fontAlgn="base" hangingPunct="0">
            <a:spcBef>
              <a:spcPct val="0"/>
            </a:spcBef>
            <a:spcAft>
              <a:spcPct val="0"/>
            </a:spcAft>
            <a:defRPr sz="2400" kern="1200">
              <a:solidFill>
                <a:schemeClr val="tx1"/>
              </a:solidFill>
              <a:latin typeface="Times" pitchFamily="18" charset="0"/>
              <a:ea typeface="+mn-ea"/>
              <a:cs typeface="+mn-cs"/>
            </a:defRPr>
          </a:lvl5pPr>
          <a:lvl6pPr marL="2286000" algn="l" defTabSz="914400" rtl="0" eaLnBrk="1" latinLnBrk="0" hangingPunct="1">
            <a:defRPr sz="2400" kern="1200">
              <a:solidFill>
                <a:schemeClr val="tx1"/>
              </a:solidFill>
              <a:latin typeface="Times" pitchFamily="18" charset="0"/>
              <a:ea typeface="+mn-ea"/>
              <a:cs typeface="+mn-cs"/>
            </a:defRPr>
          </a:lvl6pPr>
          <a:lvl7pPr marL="2743200" algn="l" defTabSz="914400" rtl="0" eaLnBrk="1" latinLnBrk="0" hangingPunct="1">
            <a:defRPr sz="2400" kern="1200">
              <a:solidFill>
                <a:schemeClr val="tx1"/>
              </a:solidFill>
              <a:latin typeface="Times" pitchFamily="18" charset="0"/>
              <a:ea typeface="+mn-ea"/>
              <a:cs typeface="+mn-cs"/>
            </a:defRPr>
          </a:lvl7pPr>
          <a:lvl8pPr marL="3200400" algn="l" defTabSz="914400" rtl="0" eaLnBrk="1" latinLnBrk="0" hangingPunct="1">
            <a:defRPr sz="2400" kern="1200">
              <a:solidFill>
                <a:schemeClr val="tx1"/>
              </a:solidFill>
              <a:latin typeface="Times" pitchFamily="18" charset="0"/>
              <a:ea typeface="+mn-ea"/>
              <a:cs typeface="+mn-cs"/>
            </a:defRPr>
          </a:lvl8pPr>
          <a:lvl9pPr marL="3657600" algn="l" defTabSz="914400" rtl="0" eaLnBrk="1" latinLnBrk="0" hangingPunct="1">
            <a:defRPr sz="2400" kern="1200">
              <a:solidFill>
                <a:schemeClr val="tx1"/>
              </a:solidFill>
              <a:latin typeface="Times" pitchFamily="18" charset="0"/>
              <a:ea typeface="+mn-ea"/>
              <a:cs typeface="+mn-cs"/>
            </a:defRPr>
          </a:lvl9pPr>
        </a:lstStyle>
        <a:p>
          <a:pPr algn="r">
            <a:lnSpc>
              <a:spcPts val="1000"/>
            </a:lnSpc>
            <a:spcBef>
              <a:spcPts val="0"/>
            </a:spcBef>
            <a:spcAft>
              <a:spcPts val="400"/>
            </a:spcAft>
          </a:pPr>
          <a:r>
            <a:rPr lang="fr-CH" sz="800" b="0" cap="none">
              <a:latin typeface="Arial"/>
              <a:ea typeface="Arial"/>
              <a:cs typeface="Arial"/>
              <a:sym typeface="Arial"/>
            </a:rPr>
            <a:t>Département fédéral de l’environnement, des transports,</a:t>
          </a:r>
          <a:br>
            <a:rPr lang="fr-CH" sz="800" b="0" cap="none">
              <a:latin typeface="Arial"/>
              <a:ea typeface="Arial"/>
              <a:cs typeface="Arial"/>
              <a:sym typeface="Arial"/>
            </a:rPr>
          </a:br>
          <a:r>
            <a:rPr lang="fr-CH" sz="800" b="0" cap="none">
              <a:latin typeface="Arial"/>
              <a:ea typeface="Arial"/>
              <a:cs typeface="Arial"/>
              <a:sym typeface="Arial"/>
            </a:rPr>
            <a:t>de l’énergie et de la communication (DETEC)</a:t>
          </a:r>
        </a:p>
        <a:p>
          <a:pPr marL="0" marR="0" lvl="0" indent="0" algn="r" defTabSz="914400" rtl="0" eaLnBrk="0" fontAlgn="base" latinLnBrk="0" hangingPunct="0">
            <a:lnSpc>
              <a:spcPts val="1000"/>
            </a:lnSpc>
            <a:spcBef>
              <a:spcPts val="0"/>
            </a:spcBef>
            <a:spcAft>
              <a:spcPct val="0"/>
            </a:spcAft>
            <a:buClrTx/>
            <a:buSzTx/>
            <a:buFontTx/>
            <a:buNone/>
            <a:tabLst/>
            <a:defRPr/>
          </a:pPr>
          <a:r>
            <a:rPr lang="fr-CH" sz="800" b="1" cap="none">
              <a:latin typeface="Arial"/>
              <a:ea typeface="Arial"/>
              <a:cs typeface="Arial"/>
              <a:sym typeface="Arial"/>
            </a:rPr>
            <a:t>Office fédéral des routes (OFROU)</a:t>
          </a:r>
        </a:p>
        <a:p>
          <a:pPr marL="0" marR="0" lvl="0" indent="0" algn="r" defTabSz="914400" rtl="0" eaLnBrk="0" fontAlgn="base" latinLnBrk="0" hangingPunct="0">
            <a:lnSpc>
              <a:spcPts val="1000"/>
            </a:lnSpc>
            <a:spcBef>
              <a:spcPts val="0"/>
            </a:spcBef>
            <a:spcAft>
              <a:spcPct val="0"/>
            </a:spcAft>
            <a:buClrTx/>
            <a:buSzTx/>
            <a:buFontTx/>
            <a:buNone/>
            <a:tabLst/>
            <a:defRPr/>
          </a:pPr>
          <a:r>
            <a:rPr lang="fr-CH" sz="800" b="0" cap="none">
              <a:latin typeface="Arial"/>
              <a:ea typeface="Arial"/>
              <a:cs typeface="Arial"/>
              <a:sym typeface="Arial"/>
            </a:rPr>
            <a:t>Division Circulation routière</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ASTRAWeisung\TestChange.xlsm" TargetMode="External"/><Relationship Id="rId1" Type="http://schemas.openxmlformats.org/officeDocument/2006/relationships/externalLinkPath" Target="https://bfuch.sharepoint.com/sites/94_170/Freigegebene%20Dokumente/General/TestChang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bfuch.sharepoint.com/sites/1411_166/Freigegebene%20Dokumente/General/04_Bearbeitung/Instrument/Archiv/2025-07-31_Beurteilungsinstrument_Prototyp_final_FR.xlsx" TargetMode="External"/><Relationship Id="rId1" Type="http://schemas.openxmlformats.org/officeDocument/2006/relationships/externalLinkPath" Target="https://bfuch.sharepoint.com/sites/1411_166/Freigegebene%20Dokumente/General/04_Bearbeitung/Instrument/Archiv/2025-07-31_Beurteilungsinstrument_Prototyp_final_F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elle1"/>
      <sheetName val="Tabelle2"/>
      <sheetName val="Listen"/>
      <sheetName val="TestChange"/>
    </sheetNames>
    <sheetDataSet>
      <sheetData sheetId="0" refreshError="1"/>
      <sheetData sheetId="1" refreshError="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erçu"/>
      <sheetName val="Étape 1 - Conditions préalables"/>
      <sheetName val="Étape 2 - Adéquation du tronçon"/>
      <sheetName val="2.1 Évaluations"/>
      <sheetName val="2.2 Taux d'accidents (densité)"/>
      <sheetName val="2.3 Gravité des accidents"/>
      <sheetName val="2.4 wsLookup"/>
      <sheetName val="Étape 3 - Faisabilité"/>
    </sheetNames>
    <sheetDataSet>
      <sheetData sheetId="0"/>
      <sheetData sheetId="1"/>
      <sheetData sheetId="2"/>
      <sheetData sheetId="3"/>
      <sheetData sheetId="4"/>
      <sheetData sheetId="5"/>
      <sheetData sheetId="6">
        <row r="2">
          <cell r="M2" t="str">
            <v>en localiténon&gt;3ouioui-------</v>
          </cell>
          <cell r="N2">
            <v>1.98E-3</v>
          </cell>
          <cell r="O2">
            <v>0.66</v>
          </cell>
          <cell r="P2">
            <v>3.7999999999999999E-2</v>
          </cell>
          <cell r="Q2">
            <v>1.2077407737518886</v>
          </cell>
          <cell r="R2">
            <v>5.3249999999999999E-2</v>
          </cell>
          <cell r="S2">
            <v>40000</v>
          </cell>
        </row>
        <row r="3">
          <cell r="M3" t="str">
            <v>en localiténon&gt;3ouinon-------</v>
          </cell>
          <cell r="N3">
            <v>1.09E-3</v>
          </cell>
          <cell r="O3">
            <v>0.66</v>
          </cell>
          <cell r="P3">
            <v>3.7999999999999999E-2</v>
          </cell>
          <cell r="Q3">
            <v>1.2077407737518886</v>
          </cell>
          <cell r="R3">
            <v>5.3249999999999999E-2</v>
          </cell>
          <cell r="S3">
            <v>40000</v>
          </cell>
        </row>
        <row r="4">
          <cell r="M4" t="str">
            <v>en localiténon&gt;3nonoui-------</v>
          </cell>
          <cell r="N4">
            <v>2.3E-5</v>
          </cell>
          <cell r="O4">
            <v>1.1200000000000001</v>
          </cell>
          <cell r="P4">
            <v>5.7000000000000002E-2</v>
          </cell>
          <cell r="Q4">
            <v>1.2077407737518886</v>
          </cell>
          <cell r="R4">
            <v>5.3249999999999999E-2</v>
          </cell>
          <cell r="S4">
            <v>12500</v>
          </cell>
        </row>
        <row r="5">
          <cell r="M5" t="str">
            <v>en localiténon&gt;3nonnon-------</v>
          </cell>
          <cell r="N5">
            <v>1.27E-5</v>
          </cell>
          <cell r="O5">
            <v>1.1200000000000001</v>
          </cell>
          <cell r="P5">
            <v>5.7000000000000002E-2</v>
          </cell>
          <cell r="Q5">
            <v>1.2077407737518886</v>
          </cell>
          <cell r="R5">
            <v>5.3249999999999999E-2</v>
          </cell>
          <cell r="S5">
            <v>14000</v>
          </cell>
        </row>
        <row r="6">
          <cell r="M6" t="str">
            <v>en localiténon3ouioui-------</v>
          </cell>
          <cell r="N6">
            <v>1.41E-3</v>
          </cell>
          <cell r="O6">
            <v>0.66</v>
          </cell>
          <cell r="P6">
            <v>2.8000000000000001E-2</v>
          </cell>
          <cell r="Q6">
            <v>1.2077407737518886</v>
          </cell>
          <cell r="R6">
            <v>5.3249999999999999E-2</v>
          </cell>
          <cell r="S6">
            <v>28000</v>
          </cell>
        </row>
        <row r="7">
          <cell r="M7" t="str">
            <v>en localiténon3ouinon-------</v>
          </cell>
          <cell r="N7">
            <v>7.7400000000000006E-4</v>
          </cell>
          <cell r="O7">
            <v>0.66</v>
          </cell>
          <cell r="P7">
            <v>2.8000000000000001E-2</v>
          </cell>
          <cell r="Q7">
            <v>1.2077407737518886</v>
          </cell>
          <cell r="R7">
            <v>5.3249999999999999E-2</v>
          </cell>
          <cell r="S7">
            <v>28000</v>
          </cell>
        </row>
        <row r="8">
          <cell r="M8" t="str">
            <v>en localiténon3nonoui-------</v>
          </cell>
          <cell r="N8">
            <v>1.5600000000000003E-5</v>
          </cell>
          <cell r="O8">
            <v>1.1200000000000001</v>
          </cell>
          <cell r="P8">
            <v>0.05</v>
          </cell>
          <cell r="Q8">
            <v>1.2077407737518886</v>
          </cell>
          <cell r="R8">
            <v>5.3249999999999999E-2</v>
          </cell>
          <cell r="S8">
            <v>11000</v>
          </cell>
        </row>
        <row r="9">
          <cell r="M9" t="str">
            <v>en localiténon3nonnon-------</v>
          </cell>
          <cell r="N9">
            <v>8.5699999999999993E-6</v>
          </cell>
          <cell r="O9">
            <v>1.1200000000000001</v>
          </cell>
          <cell r="P9">
            <v>0.05</v>
          </cell>
          <cell r="Q9">
            <v>1.2077407737518886</v>
          </cell>
          <cell r="R9">
            <v>5.3249999999999999E-2</v>
          </cell>
          <cell r="S9">
            <v>12000</v>
          </cell>
        </row>
        <row r="10">
          <cell r="M10" t="str">
            <v>en localitéoui&gt;3-oui-------</v>
          </cell>
          <cell r="N10">
            <v>3.7699999999999999E-3</v>
          </cell>
          <cell r="O10">
            <v>0.59</v>
          </cell>
          <cell r="P10">
            <v>5.1999999999999998E-2</v>
          </cell>
          <cell r="Q10">
            <v>1.2077407737518886</v>
          </cell>
          <cell r="R10">
            <v>5.3249999999999999E-2</v>
          </cell>
          <cell r="S10">
            <v>24500</v>
          </cell>
        </row>
        <row r="11">
          <cell r="M11" t="str">
            <v>en localitéoui&gt;3-non-------</v>
          </cell>
          <cell r="N11">
            <v>2.0800000000000003E-3</v>
          </cell>
          <cell r="O11">
            <v>0.59</v>
          </cell>
          <cell r="P11">
            <v>5.1999999999999998E-2</v>
          </cell>
          <cell r="Q11">
            <v>1.2077407737518886</v>
          </cell>
          <cell r="R11">
            <v>5.3249999999999999E-2</v>
          </cell>
          <cell r="S11">
            <v>27000</v>
          </cell>
        </row>
        <row r="12">
          <cell r="M12" t="str">
            <v>en localitéoui3-oui-------</v>
          </cell>
          <cell r="N12">
            <v>2.2699999999999999E-3</v>
          </cell>
          <cell r="O12">
            <v>0.59</v>
          </cell>
          <cell r="P12">
            <v>4.4999999999999998E-2</v>
          </cell>
          <cell r="Q12">
            <v>1.2077407737518886</v>
          </cell>
          <cell r="R12">
            <v>5.3249999999999999E-2</v>
          </cell>
          <cell r="S12">
            <v>16500</v>
          </cell>
        </row>
        <row r="13">
          <cell r="M13" t="str">
            <v>en localitéoui3-non-------</v>
          </cell>
          <cell r="N13">
            <v>1.25E-3</v>
          </cell>
          <cell r="O13">
            <v>0.59</v>
          </cell>
          <cell r="P13">
            <v>4.4999999999999998E-2</v>
          </cell>
          <cell r="Q13">
            <v>1.2077407737518886</v>
          </cell>
          <cell r="R13">
            <v>5.3249999999999999E-2</v>
          </cell>
          <cell r="S13">
            <v>18000</v>
          </cell>
        </row>
        <row r="14">
          <cell r="M14" t="str">
            <v>hors localiténon&gt;3ouioui-------</v>
          </cell>
          <cell r="N14">
            <v>1.25E-3</v>
          </cell>
          <cell r="O14">
            <v>0.63</v>
          </cell>
          <cell r="P14">
            <v>1.6E-2</v>
          </cell>
          <cell r="Q14">
            <v>1.0193449865833717</v>
          </cell>
          <cell r="R14">
            <v>5.6250000000000001E-2</v>
          </cell>
          <cell r="S14">
            <v>57000</v>
          </cell>
        </row>
        <row r="15">
          <cell r="M15" t="str">
            <v>hors localiténon&gt;3ouinon-------</v>
          </cell>
          <cell r="N15">
            <v>9.2800000000000001E-4</v>
          </cell>
          <cell r="O15">
            <v>0.63</v>
          </cell>
          <cell r="P15">
            <v>1.6E-2</v>
          </cell>
          <cell r="Q15">
            <v>1.0193449865833717</v>
          </cell>
          <cell r="R15">
            <v>5.6250000000000001E-2</v>
          </cell>
          <cell r="S15">
            <v>57000</v>
          </cell>
        </row>
        <row r="16">
          <cell r="M16" t="str">
            <v>hors localiténon&gt;3nonoui-------</v>
          </cell>
          <cell r="N16">
            <v>4.8300000000000003E-4</v>
          </cell>
          <cell r="O16">
            <v>0.78</v>
          </cell>
          <cell r="P16">
            <v>4.3999999999999997E-2</v>
          </cell>
          <cell r="Q16">
            <v>1.0193449865833717</v>
          </cell>
          <cell r="R16">
            <v>5.6250000000000001E-2</v>
          </cell>
          <cell r="S16">
            <v>18000</v>
          </cell>
        </row>
        <row r="17">
          <cell r="M17" t="str">
            <v>hors localiténon&gt;3nonnon-------</v>
          </cell>
          <cell r="N17">
            <v>3.5800000000000003E-4</v>
          </cell>
          <cell r="O17">
            <v>0.78</v>
          </cell>
          <cell r="P17">
            <v>4.3999999999999997E-2</v>
          </cell>
          <cell r="Q17">
            <v>1.0193449865833717</v>
          </cell>
          <cell r="R17">
            <v>5.6250000000000001E-2</v>
          </cell>
          <cell r="S17">
            <v>20000</v>
          </cell>
        </row>
        <row r="18">
          <cell r="M18" t="str">
            <v>hors localiténon3ouioui-------</v>
          </cell>
          <cell r="N18">
            <v>8.3900000000000012E-4</v>
          </cell>
          <cell r="O18">
            <v>0.63</v>
          </cell>
          <cell r="P18">
            <v>2.1999999999999999E-2</v>
          </cell>
          <cell r="Q18">
            <v>1.0193449865833717</v>
          </cell>
          <cell r="R18">
            <v>5.6250000000000001E-2</v>
          </cell>
          <cell r="S18">
            <v>40000</v>
          </cell>
        </row>
        <row r="19">
          <cell r="M19" t="str">
            <v>hors localiténon3ouinon-------</v>
          </cell>
          <cell r="N19">
            <v>6.2200000000000005E-4</v>
          </cell>
          <cell r="O19">
            <v>0.63</v>
          </cell>
          <cell r="P19">
            <v>2.1999999999999999E-2</v>
          </cell>
          <cell r="Q19">
            <v>1.0193449865833717</v>
          </cell>
          <cell r="R19">
            <v>5.6250000000000001E-2</v>
          </cell>
          <cell r="S19">
            <v>40000</v>
          </cell>
        </row>
        <row r="20">
          <cell r="M20" t="str">
            <v>hors localiténon3nonoui-------</v>
          </cell>
          <cell r="N20">
            <v>2.8800000000000001E-4</v>
          </cell>
          <cell r="O20">
            <v>0.78</v>
          </cell>
          <cell r="P20">
            <v>6.3E-2</v>
          </cell>
          <cell r="Q20">
            <v>1.0193449865833717</v>
          </cell>
          <cell r="R20">
            <v>5.6250000000000001E-2</v>
          </cell>
          <cell r="S20">
            <v>15500</v>
          </cell>
        </row>
        <row r="21">
          <cell r="M21" t="str">
            <v>hors localiténon3nonnon-------</v>
          </cell>
          <cell r="N21">
            <v>2.1400000000000002E-4</v>
          </cell>
          <cell r="O21">
            <v>0.78</v>
          </cell>
          <cell r="P21">
            <v>6.3E-2</v>
          </cell>
          <cell r="Q21">
            <v>1.0193449865833717</v>
          </cell>
          <cell r="R21">
            <v>5.6250000000000001E-2</v>
          </cell>
          <cell r="S21">
            <v>17000</v>
          </cell>
        </row>
        <row r="22">
          <cell r="M22" t="str">
            <v>hors localitéoui&gt;3-oui-------</v>
          </cell>
          <cell r="N22">
            <v>3.9300000000000003E-3</v>
          </cell>
          <cell r="O22">
            <v>0.56000000000000005</v>
          </cell>
          <cell r="P22">
            <v>5.3999999999999999E-2</v>
          </cell>
          <cell r="Q22">
            <v>1.0193449865833717</v>
          </cell>
          <cell r="R22">
            <v>5.6250000000000001E-2</v>
          </cell>
          <cell r="S22">
            <v>31500</v>
          </cell>
        </row>
        <row r="23">
          <cell r="M23" t="str">
            <v>hors localitéoui&gt;3-non-------</v>
          </cell>
          <cell r="N23">
            <v>2.9199999999999999E-3</v>
          </cell>
          <cell r="O23">
            <v>0.56000000000000005</v>
          </cell>
          <cell r="P23">
            <v>5.3999999999999999E-2</v>
          </cell>
          <cell r="Q23">
            <v>1.0193449865833717</v>
          </cell>
          <cell r="R23">
            <v>5.6250000000000001E-2</v>
          </cell>
          <cell r="S23">
            <v>35000</v>
          </cell>
        </row>
        <row r="24">
          <cell r="M24" t="str">
            <v>hors localitéoui3-oui-------</v>
          </cell>
          <cell r="N24">
            <v>2.2100000000000002E-3</v>
          </cell>
          <cell r="O24">
            <v>0.56000000000000005</v>
          </cell>
          <cell r="P24">
            <v>0.04</v>
          </cell>
          <cell r="Q24">
            <v>1.0193449865833717</v>
          </cell>
          <cell r="R24">
            <v>5.6250000000000001E-2</v>
          </cell>
          <cell r="S24">
            <v>22500</v>
          </cell>
        </row>
        <row r="25">
          <cell r="M25" t="str">
            <v>hors localitéoui3-non-------</v>
          </cell>
          <cell r="N25">
            <v>1.64E-3</v>
          </cell>
          <cell r="O25">
            <v>0.56000000000000005</v>
          </cell>
          <cell r="P25">
            <v>0.04</v>
          </cell>
          <cell r="Q25">
            <v>1.0193449865833717</v>
          </cell>
          <cell r="R25">
            <v>5.6250000000000001E-2</v>
          </cell>
          <cell r="S25">
            <v>25000</v>
          </cell>
        </row>
        <row r="26">
          <cell r="M26" t="str">
            <v>en localité----Route principaleCirculation mixteouiouiouiSans-</v>
          </cell>
          <cell r="N26">
            <v>1.32E-3</v>
          </cell>
          <cell r="O26">
            <v>0.85</v>
          </cell>
          <cell r="P26">
            <v>6.3E-2</v>
          </cell>
          <cell r="Q26">
            <v>1.6401708719887149</v>
          </cell>
          <cell r="R26">
            <v>6.6000000000000003E-2</v>
          </cell>
          <cell r="S26">
            <v>6000</v>
          </cell>
        </row>
        <row r="27">
          <cell r="M27" t="str">
            <v>en localité----Route principaleCirculation mixteouiouiouiBande cyclable-</v>
          </cell>
          <cell r="N27">
            <v>1.5600000000000002E-3</v>
          </cell>
          <cell r="O27">
            <v>0.85</v>
          </cell>
          <cell r="P27">
            <v>7.0000000000000007E-2</v>
          </cell>
          <cell r="Q27">
            <v>1.6401708719887149</v>
          </cell>
          <cell r="R27">
            <v>6.6000000000000003E-2</v>
          </cell>
          <cell r="S27">
            <v>4000</v>
          </cell>
        </row>
        <row r="28">
          <cell r="M28" t="str">
            <v>en localité----Route principaleCirculation mixteouiouiouiPiste cyclable-</v>
          </cell>
          <cell r="N28">
            <v>1.4599999999999999E-3</v>
          </cell>
          <cell r="O28">
            <v>0.85</v>
          </cell>
          <cell r="P28">
            <v>7.0000000000000007E-2</v>
          </cell>
          <cell r="Q28">
            <v>1.6401708719887149</v>
          </cell>
          <cell r="R28">
            <v>6.6000000000000003E-2</v>
          </cell>
          <cell r="S28">
            <v>6500</v>
          </cell>
        </row>
        <row r="29">
          <cell r="M29" t="str">
            <v>en localité----Route principaleCirculation mixteouiouinonSans-</v>
          </cell>
          <cell r="N29">
            <v>8.8100000000000006E-4</v>
          </cell>
          <cell r="O29">
            <v>0.85</v>
          </cell>
          <cell r="P29">
            <v>6.3E-2</v>
          </cell>
          <cell r="Q29">
            <v>1.6401708719887149</v>
          </cell>
          <cell r="R29">
            <v>6.6000000000000003E-2</v>
          </cell>
          <cell r="S29">
            <v>6000</v>
          </cell>
        </row>
        <row r="30">
          <cell r="M30" t="str">
            <v>en localité----Route principaleCirculation mixteouiouinonBande cyclable-</v>
          </cell>
          <cell r="N30">
            <v>1.0400000000000001E-3</v>
          </cell>
          <cell r="O30">
            <v>0.85</v>
          </cell>
          <cell r="P30">
            <v>7.0000000000000007E-2</v>
          </cell>
          <cell r="Q30">
            <v>1.6401708719887149</v>
          </cell>
          <cell r="R30">
            <v>6.6000000000000003E-2</v>
          </cell>
          <cell r="S30">
            <v>4000</v>
          </cell>
        </row>
        <row r="31">
          <cell r="M31" t="str">
            <v>en localité----Route principaleCirculation mixteouiouinonPiste cyclable-</v>
          </cell>
          <cell r="N31">
            <v>9.7599999999999998E-4</v>
          </cell>
          <cell r="O31">
            <v>0.85</v>
          </cell>
          <cell r="P31">
            <v>7.0000000000000007E-2</v>
          </cell>
          <cell r="Q31">
            <v>1.6401708719887149</v>
          </cell>
          <cell r="R31">
            <v>6.6000000000000003E-2</v>
          </cell>
          <cell r="S31">
            <v>6500</v>
          </cell>
        </row>
        <row r="32">
          <cell r="M32" t="str">
            <v>en localité----Route principaleCirculation mixteouinonouiSans-</v>
          </cell>
          <cell r="N32">
            <v>5.2000000000000006E-4</v>
          </cell>
          <cell r="O32">
            <v>0.85</v>
          </cell>
          <cell r="P32">
            <v>5.5E-2</v>
          </cell>
          <cell r="Q32">
            <v>1.6401708719887149</v>
          </cell>
          <cell r="R32">
            <v>6.6000000000000003E-2</v>
          </cell>
          <cell r="S32">
            <v>12000</v>
          </cell>
        </row>
        <row r="33">
          <cell r="M33" t="str">
            <v>en localité----Route principaleCirculation mixteouinonouiBande cyclable-</v>
          </cell>
          <cell r="N33">
            <v>6.1600000000000001E-4</v>
          </cell>
          <cell r="O33">
            <v>0.85</v>
          </cell>
          <cell r="P33">
            <v>6.0999999999999999E-2</v>
          </cell>
          <cell r="Q33">
            <v>1.6401708719887149</v>
          </cell>
          <cell r="R33">
            <v>6.6000000000000003E-2</v>
          </cell>
          <cell r="S33">
            <v>8000</v>
          </cell>
        </row>
        <row r="34">
          <cell r="M34" t="str">
            <v>en localité----Route principaleCirculation mixteouinonouiPiste cyclable-</v>
          </cell>
          <cell r="N34">
            <v>5.7600000000000001E-4</v>
          </cell>
          <cell r="O34">
            <v>0.85</v>
          </cell>
          <cell r="P34">
            <v>6.0999999999999999E-2</v>
          </cell>
          <cell r="Q34">
            <v>1.6401708719887149</v>
          </cell>
          <cell r="R34">
            <v>6.6000000000000003E-2</v>
          </cell>
          <cell r="S34">
            <v>13000</v>
          </cell>
        </row>
        <row r="35">
          <cell r="M35" t="str">
            <v>en localité----Route principaleCirculation mixteouinonnonSans-</v>
          </cell>
          <cell r="N35">
            <v>3.48E-4</v>
          </cell>
          <cell r="O35">
            <v>0.85</v>
          </cell>
          <cell r="P35">
            <v>5.5E-2</v>
          </cell>
          <cell r="Q35">
            <v>1.6401708719887149</v>
          </cell>
          <cell r="R35">
            <v>6.6000000000000003E-2</v>
          </cell>
          <cell r="S35">
            <v>12000</v>
          </cell>
        </row>
        <row r="36">
          <cell r="M36" t="str">
            <v>en localité----Route principaleCirculation mixteouinonnonBande cyclable-</v>
          </cell>
          <cell r="N36">
            <v>4.1200000000000004E-4</v>
          </cell>
          <cell r="O36">
            <v>0.85</v>
          </cell>
          <cell r="P36">
            <v>6.0999999999999999E-2</v>
          </cell>
          <cell r="Q36">
            <v>1.6401708719887149</v>
          </cell>
          <cell r="R36">
            <v>6.6000000000000003E-2</v>
          </cell>
          <cell r="S36">
            <v>8000</v>
          </cell>
        </row>
        <row r="37">
          <cell r="M37" t="str">
            <v>en localité----Route principaleCirculation mixteouinonnonPiste cyclable-</v>
          </cell>
          <cell r="N37">
            <v>5.2000000000000006E-4</v>
          </cell>
          <cell r="O37">
            <v>0.85</v>
          </cell>
          <cell r="P37">
            <v>6.0999999999999999E-2</v>
          </cell>
          <cell r="Q37">
            <v>1.6401708719887149</v>
          </cell>
          <cell r="R37">
            <v>6.6000000000000003E-2</v>
          </cell>
          <cell r="S37">
            <v>13000</v>
          </cell>
        </row>
        <row r="38">
          <cell r="M38" t="str">
            <v>en localité----Route principaleCirculation mixtenonouiouiSans-</v>
          </cell>
          <cell r="N38">
            <v>9.59E-4</v>
          </cell>
          <cell r="O38">
            <v>0.85</v>
          </cell>
          <cell r="P38">
            <v>5.0999999999999997E-2</v>
          </cell>
          <cell r="Q38">
            <v>1.6401708719887149</v>
          </cell>
          <cell r="R38">
            <v>6.6000000000000003E-2</v>
          </cell>
          <cell r="S38">
            <v>9000</v>
          </cell>
        </row>
        <row r="39">
          <cell r="M39" t="str">
            <v>en localité----Route principaleCirculation mixtenonouiouiBande cyclable-</v>
          </cell>
          <cell r="N39">
            <v>1.14E-3</v>
          </cell>
          <cell r="O39">
            <v>0.85</v>
          </cell>
          <cell r="P39">
            <v>6.6000000000000003E-2</v>
          </cell>
          <cell r="Q39">
            <v>1.6401708719887149</v>
          </cell>
          <cell r="R39">
            <v>6.6000000000000003E-2</v>
          </cell>
          <cell r="S39">
            <v>6000</v>
          </cell>
        </row>
        <row r="40">
          <cell r="M40" t="str">
            <v>en localité----Route principaleCirculation mixtenonouiouiPiste cyclable-</v>
          </cell>
          <cell r="N40">
            <v>1.0600000000000002E-3</v>
          </cell>
          <cell r="O40">
            <v>0.85</v>
          </cell>
          <cell r="P40">
            <v>6.6000000000000003E-2</v>
          </cell>
          <cell r="Q40">
            <v>1.6401708719887149</v>
          </cell>
          <cell r="R40">
            <v>6.6000000000000003E-2</v>
          </cell>
          <cell r="S40">
            <v>10000</v>
          </cell>
        </row>
        <row r="41">
          <cell r="M41" t="str">
            <v>en localité----Route principaleCirculation mixtenonouinonSans-</v>
          </cell>
          <cell r="N41">
            <v>6.4100000000000008E-4</v>
          </cell>
          <cell r="O41">
            <v>0.85</v>
          </cell>
          <cell r="P41">
            <v>5.0999999999999997E-2</v>
          </cell>
          <cell r="Q41">
            <v>1.6401708719887149</v>
          </cell>
          <cell r="R41">
            <v>6.6000000000000003E-2</v>
          </cell>
          <cell r="S41">
            <v>9000</v>
          </cell>
        </row>
        <row r="42">
          <cell r="M42" t="str">
            <v>en localité----Route principaleCirculation mixtenonouinonBande cyclable-</v>
          </cell>
          <cell r="N42">
            <v>7.6000000000000004E-4</v>
          </cell>
          <cell r="O42">
            <v>0.85</v>
          </cell>
          <cell r="P42">
            <v>6.6000000000000003E-2</v>
          </cell>
          <cell r="Q42">
            <v>1.6401708719887149</v>
          </cell>
          <cell r="R42">
            <v>6.6000000000000003E-2</v>
          </cell>
          <cell r="S42">
            <v>6000</v>
          </cell>
        </row>
        <row r="43">
          <cell r="M43" t="str">
            <v>en localité----Route principaleCirculation mixtenonouinonPiste cyclable-</v>
          </cell>
          <cell r="N43">
            <v>7.1000000000000002E-4</v>
          </cell>
          <cell r="O43">
            <v>0.85</v>
          </cell>
          <cell r="P43">
            <v>6.6000000000000003E-2</v>
          </cell>
          <cell r="Q43">
            <v>1.6401708719887149</v>
          </cell>
          <cell r="R43">
            <v>6.6000000000000003E-2</v>
          </cell>
          <cell r="S43">
            <v>10000</v>
          </cell>
        </row>
        <row r="44">
          <cell r="M44" t="str">
            <v>en localité----Route principaleCirculation mixtenonnonouiSans-</v>
          </cell>
          <cell r="N44">
            <v>3.79E-4</v>
          </cell>
          <cell r="O44">
            <v>0.85</v>
          </cell>
          <cell r="P44">
            <v>5.0999999999999997E-2</v>
          </cell>
          <cell r="Q44">
            <v>1.6401708719887149</v>
          </cell>
          <cell r="R44">
            <v>6.6000000000000003E-2</v>
          </cell>
          <cell r="S44">
            <v>18000</v>
          </cell>
        </row>
        <row r="45">
          <cell r="M45" t="str">
            <v>en localité----Route principaleCirculation mixtenonnonouiBande cyclable-</v>
          </cell>
          <cell r="N45">
            <v>4.4800000000000005E-4</v>
          </cell>
          <cell r="O45">
            <v>0.85</v>
          </cell>
          <cell r="P45">
            <v>6.6000000000000003E-2</v>
          </cell>
          <cell r="Q45">
            <v>1.6401708719887149</v>
          </cell>
          <cell r="R45">
            <v>6.6000000000000003E-2</v>
          </cell>
          <cell r="S45">
            <v>12000</v>
          </cell>
        </row>
        <row r="46">
          <cell r="M46" t="str">
            <v>en localité----Route principaleCirculation mixtenonnonouiPiste cyclable-</v>
          </cell>
          <cell r="N46">
            <v>4.1900000000000005E-4</v>
          </cell>
          <cell r="O46">
            <v>0.85</v>
          </cell>
          <cell r="P46">
            <v>6.6000000000000003E-2</v>
          </cell>
          <cell r="Q46">
            <v>1.6401708719887149</v>
          </cell>
          <cell r="R46">
            <v>6.6000000000000003E-2</v>
          </cell>
          <cell r="S46">
            <v>20000</v>
          </cell>
        </row>
        <row r="47">
          <cell r="M47" t="str">
            <v>en localité----Route principaleCirculation mixtenonnonnonSans-</v>
          </cell>
          <cell r="N47">
            <v>2.5299999999999997E-4</v>
          </cell>
          <cell r="O47">
            <v>0.85</v>
          </cell>
          <cell r="P47">
            <v>5.0999999999999997E-2</v>
          </cell>
          <cell r="Q47">
            <v>1.6401708719887149</v>
          </cell>
          <cell r="R47">
            <v>6.6000000000000003E-2</v>
          </cell>
          <cell r="S47">
            <v>18000</v>
          </cell>
        </row>
        <row r="48">
          <cell r="M48" t="str">
            <v>en localité----Route principaleCirculation mixtenonnonnonBande cyclable-</v>
          </cell>
          <cell r="N48">
            <v>3.0000000000000003E-4</v>
          </cell>
          <cell r="O48">
            <v>0.85</v>
          </cell>
          <cell r="P48">
            <v>6.6000000000000003E-2</v>
          </cell>
          <cell r="Q48">
            <v>1.6401708719887149</v>
          </cell>
          <cell r="R48">
            <v>6.6000000000000003E-2</v>
          </cell>
          <cell r="S48">
            <v>12000</v>
          </cell>
        </row>
        <row r="49">
          <cell r="M49" t="str">
            <v>en localité----Route principaleCirculation mixtenonnonnonPiste cyclable-</v>
          </cell>
          <cell r="N49">
            <v>2.7999999999999998E-4</v>
          </cell>
          <cell r="O49">
            <v>0.85</v>
          </cell>
          <cell r="P49">
            <v>6.6000000000000003E-2</v>
          </cell>
          <cell r="Q49">
            <v>1.6401708719887149</v>
          </cell>
          <cell r="R49">
            <v>6.6000000000000003E-2</v>
          </cell>
          <cell r="S49">
            <v>20000</v>
          </cell>
        </row>
        <row r="50">
          <cell r="M50" t="str">
            <v>en localité----Route secondaireCirculation mixteouiouiouiSans-</v>
          </cell>
          <cell r="N50">
            <v>1.47E-3</v>
          </cell>
          <cell r="O50">
            <v>0.85</v>
          </cell>
          <cell r="P50">
            <v>6.4000000000000001E-2</v>
          </cell>
          <cell r="Q50">
            <v>1.8305478482016908</v>
          </cell>
          <cell r="R50">
            <v>6.25E-2</v>
          </cell>
          <cell r="S50">
            <v>3000</v>
          </cell>
        </row>
        <row r="51">
          <cell r="M51" t="str">
            <v>en localité----Route secondaireCirculation mixteouiouiouiBande cyclable-</v>
          </cell>
          <cell r="N51">
            <v>1.74E-3</v>
          </cell>
          <cell r="O51">
            <v>0.85</v>
          </cell>
          <cell r="P51">
            <v>7.2999999999999995E-2</v>
          </cell>
          <cell r="Q51">
            <v>1.8305478482016908</v>
          </cell>
          <cell r="R51">
            <v>6.25E-2</v>
          </cell>
          <cell r="S51">
            <v>2000</v>
          </cell>
        </row>
        <row r="52">
          <cell r="M52" t="str">
            <v>en localité----Route secondaireCirculation mixteouiouiouiPiste cyclable-</v>
          </cell>
          <cell r="N52">
            <v>1.6299999999999999E-3</v>
          </cell>
          <cell r="O52">
            <v>0.85</v>
          </cell>
          <cell r="P52">
            <v>7.2999999999999995E-2</v>
          </cell>
          <cell r="Q52">
            <v>1.8305478482016908</v>
          </cell>
          <cell r="R52">
            <v>6.25E-2</v>
          </cell>
          <cell r="S52">
            <v>3500</v>
          </cell>
        </row>
        <row r="53">
          <cell r="M53" t="str">
            <v>en localité----Route secondaireCirculation mixteouiouinonSans-</v>
          </cell>
          <cell r="N53">
            <v>9.8200000000000002E-4</v>
          </cell>
          <cell r="O53">
            <v>0.85</v>
          </cell>
          <cell r="P53">
            <v>6.4000000000000001E-2</v>
          </cell>
          <cell r="Q53">
            <v>1.8305478482016908</v>
          </cell>
          <cell r="R53">
            <v>6.25E-2</v>
          </cell>
          <cell r="S53">
            <v>3000</v>
          </cell>
        </row>
        <row r="54">
          <cell r="M54" t="str">
            <v>en localité----Route secondaireCirculation mixteouiouinonBande cyclable-</v>
          </cell>
          <cell r="N54">
            <v>1.16E-3</v>
          </cell>
          <cell r="O54">
            <v>0.85</v>
          </cell>
          <cell r="P54">
            <v>7.2999999999999995E-2</v>
          </cell>
          <cell r="Q54">
            <v>1.8305478482016908</v>
          </cell>
          <cell r="R54">
            <v>6.25E-2</v>
          </cell>
          <cell r="S54">
            <v>2000</v>
          </cell>
        </row>
        <row r="55">
          <cell r="M55" t="str">
            <v>en localité----Route secondaireCirculation mixteouiouinonPiste cyclable-</v>
          </cell>
          <cell r="N55">
            <v>1.09E-3</v>
          </cell>
          <cell r="O55">
            <v>0.85</v>
          </cell>
          <cell r="P55">
            <v>7.2999999999999995E-2</v>
          </cell>
          <cell r="Q55">
            <v>1.8305478482016908</v>
          </cell>
          <cell r="R55">
            <v>6.25E-2</v>
          </cell>
          <cell r="S55">
            <v>3500</v>
          </cell>
        </row>
        <row r="56">
          <cell r="M56" t="str">
            <v>en localité----Route secondaireCirculation mixteouinonouiSans-</v>
          </cell>
          <cell r="N56">
            <v>5.7899999999999998E-4</v>
          </cell>
          <cell r="O56">
            <v>0.85</v>
          </cell>
          <cell r="P56">
            <v>5.3999999999999999E-2</v>
          </cell>
          <cell r="Q56">
            <v>1.8305478482016908</v>
          </cell>
          <cell r="R56">
            <v>6.25E-2</v>
          </cell>
          <cell r="S56">
            <v>4000</v>
          </cell>
        </row>
        <row r="57">
          <cell r="M57" t="str">
            <v>en localité----Route secondaireCirculation mixteouinonouiBande cyclable-</v>
          </cell>
          <cell r="N57">
            <v>6.8600000000000009E-4</v>
          </cell>
          <cell r="O57">
            <v>0.85</v>
          </cell>
          <cell r="P57">
            <v>6.0999999999999999E-2</v>
          </cell>
          <cell r="Q57">
            <v>1.8305478482016908</v>
          </cell>
          <cell r="R57">
            <v>6.25E-2</v>
          </cell>
          <cell r="S57">
            <v>2500</v>
          </cell>
        </row>
        <row r="58">
          <cell r="M58" t="str">
            <v>en localité----Route secondaireCirculation mixteouinonouiPiste cyclable-</v>
          </cell>
          <cell r="N58">
            <v>6.4100000000000008E-4</v>
          </cell>
          <cell r="O58">
            <v>0.85</v>
          </cell>
          <cell r="P58">
            <v>6.0999999999999999E-2</v>
          </cell>
          <cell r="Q58">
            <v>1.8305478482016908</v>
          </cell>
          <cell r="R58">
            <v>6.25E-2</v>
          </cell>
          <cell r="S58">
            <v>4500</v>
          </cell>
        </row>
        <row r="59">
          <cell r="M59" t="str">
            <v>en localité----Route secondaireCirculation mixteouinonnonSans-</v>
          </cell>
          <cell r="N59">
            <v>3.8700000000000003E-4</v>
          </cell>
          <cell r="O59">
            <v>0.85</v>
          </cell>
          <cell r="P59">
            <v>5.3999999999999999E-2</v>
          </cell>
          <cell r="Q59">
            <v>1.8305478482016908</v>
          </cell>
          <cell r="R59">
            <v>6.25E-2</v>
          </cell>
          <cell r="S59">
            <v>4000</v>
          </cell>
        </row>
        <row r="60">
          <cell r="M60" t="str">
            <v>en localité----Route secondaireCirculation mixteouinonnonBande cyclable-</v>
          </cell>
          <cell r="N60">
            <v>4.5899999999999999E-4</v>
          </cell>
          <cell r="O60">
            <v>0.85</v>
          </cell>
          <cell r="P60">
            <v>6.0999999999999999E-2</v>
          </cell>
          <cell r="Q60">
            <v>1.8305478482016908</v>
          </cell>
          <cell r="R60">
            <v>6.25E-2</v>
          </cell>
          <cell r="S60">
            <v>2500</v>
          </cell>
        </row>
        <row r="61">
          <cell r="M61" t="str">
            <v>en localité----Route secondaireCirculation mixteouinonnonPiste cyclable-</v>
          </cell>
          <cell r="N61">
            <v>4.2900000000000002E-4</v>
          </cell>
          <cell r="O61">
            <v>0.85</v>
          </cell>
          <cell r="P61">
            <v>6.0999999999999999E-2</v>
          </cell>
          <cell r="Q61">
            <v>1.8305478482016908</v>
          </cell>
          <cell r="R61">
            <v>6.25E-2</v>
          </cell>
          <cell r="S61">
            <v>4500</v>
          </cell>
        </row>
        <row r="62">
          <cell r="M62" t="str">
            <v>en localité----Route secondaireCirculation mixtenonouiouiSans-</v>
          </cell>
          <cell r="N62">
            <v>1.07E-3</v>
          </cell>
          <cell r="O62">
            <v>0.85</v>
          </cell>
          <cell r="P62">
            <v>3.7999999999999999E-2</v>
          </cell>
          <cell r="Q62">
            <v>1.8305478482016908</v>
          </cell>
          <cell r="R62">
            <v>6.25E-2</v>
          </cell>
          <cell r="S62">
            <v>4000</v>
          </cell>
        </row>
        <row r="63">
          <cell r="M63" t="str">
            <v>en localité----Route secondaireCirculation mixtenonouiouiBande cyclable-</v>
          </cell>
          <cell r="N63">
            <v>1.2700000000000001E-3</v>
          </cell>
          <cell r="O63">
            <v>0.85</v>
          </cell>
          <cell r="P63">
            <v>3.4000000000000002E-2</v>
          </cell>
          <cell r="Q63">
            <v>1.8305478482016908</v>
          </cell>
          <cell r="R63">
            <v>6.25E-2</v>
          </cell>
          <cell r="S63">
            <v>2500</v>
          </cell>
        </row>
        <row r="64">
          <cell r="M64" t="str">
            <v>en localité----Route secondaireCirculation mixtenonouiouiPiste cyclable-</v>
          </cell>
          <cell r="N64">
            <v>1.1800000000000001E-3</v>
          </cell>
          <cell r="O64">
            <v>0.85</v>
          </cell>
          <cell r="P64">
            <v>3.4000000000000002E-2</v>
          </cell>
          <cell r="Q64">
            <v>1.8305478482016908</v>
          </cell>
          <cell r="R64">
            <v>6.25E-2</v>
          </cell>
          <cell r="S64">
            <v>4500</v>
          </cell>
        </row>
        <row r="65">
          <cell r="M65" t="str">
            <v>en localité----Route secondaireCirculation mixtenonouinonSans-</v>
          </cell>
          <cell r="N65">
            <v>7.1400000000000001E-4</v>
          </cell>
          <cell r="O65">
            <v>0.85</v>
          </cell>
          <cell r="P65">
            <v>3.7999999999999999E-2</v>
          </cell>
          <cell r="Q65">
            <v>1.8305478482016908</v>
          </cell>
          <cell r="R65">
            <v>6.25E-2</v>
          </cell>
          <cell r="S65">
            <v>4000</v>
          </cell>
        </row>
        <row r="66">
          <cell r="M66" t="str">
            <v>en localité----Route secondaireCirculation mixtenonouinonBande cyclable-</v>
          </cell>
          <cell r="N66">
            <v>8.4600000000000007E-4</v>
          </cell>
          <cell r="O66">
            <v>0.85</v>
          </cell>
          <cell r="P66">
            <v>3.4000000000000002E-2</v>
          </cell>
          <cell r="Q66">
            <v>1.8305478482016908</v>
          </cell>
          <cell r="R66">
            <v>6.25E-2</v>
          </cell>
          <cell r="S66">
            <v>2500</v>
          </cell>
        </row>
        <row r="67">
          <cell r="M67" t="str">
            <v>en localité----Route secondaireCirculation mixtenonouinonPiste cyclable-</v>
          </cell>
          <cell r="N67">
            <v>7.9100000000000004E-4</v>
          </cell>
          <cell r="O67">
            <v>0.85</v>
          </cell>
          <cell r="P67">
            <v>3.4000000000000002E-2</v>
          </cell>
          <cell r="Q67">
            <v>1.8305478482016908</v>
          </cell>
          <cell r="R67">
            <v>6.25E-2</v>
          </cell>
          <cell r="S67">
            <v>4500</v>
          </cell>
        </row>
        <row r="68">
          <cell r="M68" t="str">
            <v>en localité----Route secondaireCirculation mixtenonnonouiSans-</v>
          </cell>
          <cell r="N68">
            <v>4.2200000000000001E-4</v>
          </cell>
          <cell r="O68">
            <v>0.85</v>
          </cell>
          <cell r="P68">
            <v>4.3999999999999997E-2</v>
          </cell>
          <cell r="Q68">
            <v>1.8305478482016908</v>
          </cell>
          <cell r="R68">
            <v>6.25E-2</v>
          </cell>
          <cell r="S68">
            <v>5000</v>
          </cell>
        </row>
        <row r="69">
          <cell r="M69" t="str">
            <v>en localité----Route secondaireCirculation mixtenonnonouiBande cyclable-</v>
          </cell>
          <cell r="N69">
            <v>4.9900000000000009E-4</v>
          </cell>
          <cell r="O69">
            <v>0.85</v>
          </cell>
          <cell r="P69">
            <v>3.9E-2</v>
          </cell>
          <cell r="Q69">
            <v>1.8305478482016908</v>
          </cell>
          <cell r="R69">
            <v>6.25E-2</v>
          </cell>
          <cell r="S69">
            <v>3500</v>
          </cell>
        </row>
        <row r="70">
          <cell r="M70" t="str">
            <v>en localité----Route secondaireCirculation mixtenonnonouiPiste cyclable-</v>
          </cell>
          <cell r="N70">
            <v>4.6700000000000002E-4</v>
          </cell>
          <cell r="O70">
            <v>0.85</v>
          </cell>
          <cell r="P70">
            <v>3.9E-2</v>
          </cell>
          <cell r="Q70">
            <v>1.8305478482016908</v>
          </cell>
          <cell r="R70">
            <v>6.25E-2</v>
          </cell>
          <cell r="S70">
            <v>5500</v>
          </cell>
        </row>
        <row r="71">
          <cell r="M71" t="str">
            <v>en localité----Route secondaireCirculation mixtenonnonnonSans-</v>
          </cell>
          <cell r="N71">
            <v>2.8200000000000002E-4</v>
          </cell>
          <cell r="O71">
            <v>0.85</v>
          </cell>
          <cell r="P71">
            <v>4.3999999999999997E-2</v>
          </cell>
          <cell r="Q71">
            <v>1.8305478482016908</v>
          </cell>
          <cell r="R71">
            <v>6.25E-2</v>
          </cell>
          <cell r="S71">
            <v>5000</v>
          </cell>
        </row>
        <row r="72">
          <cell r="M72" t="str">
            <v>en localité----Route secondaireCirculation mixtenonnonnonBande cyclable-</v>
          </cell>
          <cell r="N72">
            <v>3.3399999999999999E-4</v>
          </cell>
          <cell r="O72">
            <v>0.85</v>
          </cell>
          <cell r="P72">
            <v>3.9E-2</v>
          </cell>
          <cell r="Q72">
            <v>1.8305478482016908</v>
          </cell>
          <cell r="R72">
            <v>6.25E-2</v>
          </cell>
          <cell r="S72">
            <v>3500</v>
          </cell>
        </row>
        <row r="73">
          <cell r="M73" t="str">
            <v>en localité----Route secondaireCirculation mixtenonnonnonPiste cyclable-</v>
          </cell>
          <cell r="N73">
            <v>3.1200000000000005E-4</v>
          </cell>
          <cell r="O73">
            <v>0.85</v>
          </cell>
          <cell r="P73">
            <v>3.9E-2</v>
          </cell>
          <cell r="Q73">
            <v>1.8305478482016908</v>
          </cell>
          <cell r="R73">
            <v>6.25E-2</v>
          </cell>
          <cell r="S73">
            <v>5500</v>
          </cell>
        </row>
        <row r="74">
          <cell r="M74" t="str">
            <v>en localité-----Tunnel-----</v>
          </cell>
          <cell r="N74">
            <v>9.2500000000000012E-5</v>
          </cell>
          <cell r="O74">
            <v>0.92</v>
          </cell>
          <cell r="P74">
            <v>4.2999999999999997E-2</v>
          </cell>
          <cell r="Q74">
            <v>1.8305478482016908</v>
          </cell>
          <cell r="R74">
            <v>6.25E-2</v>
          </cell>
          <cell r="S74">
            <v>10000</v>
          </cell>
        </row>
        <row r="75">
          <cell r="M75" t="str">
            <v>hors localité----Route principaleCirculation mixteoui--Sans-</v>
          </cell>
          <cell r="N75">
            <v>1.8100000000000002E-3</v>
          </cell>
          <cell r="O75">
            <v>0.61</v>
          </cell>
          <cell r="P75">
            <v>7.0000000000000007E-2</v>
          </cell>
          <cell r="Q75">
            <v>0.76086371289166055</v>
          </cell>
          <cell r="R75">
            <v>6.8499999999999991E-2</v>
          </cell>
          <cell r="S75">
            <v>18000</v>
          </cell>
        </row>
        <row r="76">
          <cell r="M76" t="str">
            <v>hors localité----Route principaleCirculation mixteoui--Piste cyclable-</v>
          </cell>
          <cell r="N76">
            <v>1.8100000000000002E-3</v>
          </cell>
          <cell r="O76">
            <v>0.61</v>
          </cell>
          <cell r="P76">
            <v>0.06</v>
          </cell>
          <cell r="Q76">
            <v>0.76086371289166055</v>
          </cell>
          <cell r="R76">
            <v>6.8499999999999991E-2</v>
          </cell>
          <cell r="S76">
            <v>18000</v>
          </cell>
        </row>
        <row r="77">
          <cell r="M77" t="str">
            <v>hors localité----Route principaleCirculation mixteoui--Piste cyclable-</v>
          </cell>
          <cell r="N77">
            <v>1.8100000000000002E-3</v>
          </cell>
          <cell r="O77">
            <v>0.61</v>
          </cell>
          <cell r="P77">
            <v>0.06</v>
          </cell>
          <cell r="Q77">
            <v>0.76086371289166055</v>
          </cell>
          <cell r="R77">
            <v>6.8499999999999991E-2</v>
          </cell>
          <cell r="S77">
            <v>20000</v>
          </cell>
        </row>
        <row r="78">
          <cell r="M78" t="str">
            <v>hors localité----Route principaleCirculation mixtenon--Sans-</v>
          </cell>
          <cell r="N78">
            <v>1.8100000000000002E-3</v>
          </cell>
          <cell r="O78">
            <v>0.61</v>
          </cell>
          <cell r="P78">
            <v>6.7000000000000004E-2</v>
          </cell>
          <cell r="Q78">
            <v>0.76086371289166055</v>
          </cell>
          <cell r="R78">
            <v>6.8499999999999991E-2</v>
          </cell>
          <cell r="S78">
            <v>20000</v>
          </cell>
        </row>
        <row r="79">
          <cell r="M79" t="str">
            <v>hors localité----Route principaleCirculation mixtenon--Piste cyclable-</v>
          </cell>
          <cell r="N79">
            <v>1.8100000000000002E-3</v>
          </cell>
          <cell r="O79">
            <v>0.61</v>
          </cell>
          <cell r="P79">
            <v>6.7000000000000004E-2</v>
          </cell>
          <cell r="Q79">
            <v>0.76086371289166055</v>
          </cell>
          <cell r="R79">
            <v>6.8499999999999991E-2</v>
          </cell>
          <cell r="S79">
            <v>20000</v>
          </cell>
        </row>
        <row r="80">
          <cell r="M80" t="str">
            <v>hors localité----Route principaleCirculation mixtenon--Piste cyclable-</v>
          </cell>
          <cell r="N80">
            <v>1.8100000000000002E-3</v>
          </cell>
          <cell r="O80">
            <v>0.61</v>
          </cell>
          <cell r="P80">
            <v>6.7000000000000004E-2</v>
          </cell>
          <cell r="Q80">
            <v>0.76086371289166055</v>
          </cell>
          <cell r="R80">
            <v>6.8499999999999991E-2</v>
          </cell>
          <cell r="S80">
            <v>22000</v>
          </cell>
        </row>
        <row r="81">
          <cell r="M81" t="str">
            <v>hors localité----Route principaleTunnel-----</v>
          </cell>
          <cell r="N81">
            <v>1.3000000000000002E-3</v>
          </cell>
          <cell r="O81">
            <v>0.61</v>
          </cell>
          <cell r="P81">
            <v>4.2999999999999997E-2</v>
          </cell>
          <cell r="Q81">
            <v>0.76086371289166055</v>
          </cell>
          <cell r="R81">
            <v>6.8499999999999991E-2</v>
          </cell>
          <cell r="S81">
            <v>10000</v>
          </cell>
        </row>
        <row r="82">
          <cell r="M82" t="str">
            <v>hors localité----Route secondaireCirculation mixteoui--Sans-</v>
          </cell>
          <cell r="N82">
            <v>1.48E-3</v>
          </cell>
          <cell r="O82">
            <v>0.61</v>
          </cell>
          <cell r="P82">
            <v>8.5000000000000006E-2</v>
          </cell>
          <cell r="Q82">
            <v>0.40762584809404889</v>
          </cell>
          <cell r="R82">
            <v>9.1999999999999998E-2</v>
          </cell>
          <cell r="S82">
            <v>9000</v>
          </cell>
        </row>
        <row r="83">
          <cell r="M83" t="str">
            <v>hors localité----Route secondaireCirculation mixteoui--Piste cyclable-</v>
          </cell>
          <cell r="N83">
            <v>1.48E-3</v>
          </cell>
          <cell r="O83">
            <v>0.61</v>
          </cell>
          <cell r="P83">
            <v>6.9000000000000006E-2</v>
          </cell>
          <cell r="Q83">
            <v>0.40762584809404889</v>
          </cell>
          <cell r="R83">
            <v>9.1999999999999998E-2</v>
          </cell>
          <cell r="S83">
            <v>9000</v>
          </cell>
        </row>
        <row r="84">
          <cell r="M84" t="str">
            <v>hors localité----Route secondaireCirculation mixteoui--Piste cyclable-</v>
          </cell>
          <cell r="N84">
            <v>1.48E-3</v>
          </cell>
          <cell r="O84">
            <v>0.61</v>
          </cell>
          <cell r="P84">
            <v>6.9000000000000006E-2</v>
          </cell>
          <cell r="Q84">
            <v>0.40762584809404889</v>
          </cell>
          <cell r="R84">
            <v>9.1999999999999998E-2</v>
          </cell>
          <cell r="S84">
            <v>10000</v>
          </cell>
        </row>
        <row r="85">
          <cell r="M85" t="str">
            <v>hors localité----Route secondaireCirculation mixtenon--Sans-</v>
          </cell>
          <cell r="N85">
            <v>1.48E-3</v>
          </cell>
          <cell r="O85">
            <v>0.61</v>
          </cell>
          <cell r="P85">
            <v>8.6999999999999994E-2</v>
          </cell>
          <cell r="Q85">
            <v>0.40762584809404889</v>
          </cell>
          <cell r="R85">
            <v>9.1999999999999998E-2</v>
          </cell>
          <cell r="S85">
            <v>10000</v>
          </cell>
        </row>
        <row r="86">
          <cell r="M86" t="str">
            <v>hors localité----Route secondaireCirculation mixtenon--Piste cyclable-</v>
          </cell>
          <cell r="N86">
            <v>1.48E-3</v>
          </cell>
          <cell r="O86">
            <v>0.61</v>
          </cell>
          <cell r="P86">
            <v>9.7000000000000003E-2</v>
          </cell>
          <cell r="Q86">
            <v>0.40762584809404889</v>
          </cell>
          <cell r="R86">
            <v>9.1999999999999998E-2</v>
          </cell>
          <cell r="S86">
            <v>10000</v>
          </cell>
        </row>
        <row r="87">
          <cell r="M87" t="str">
            <v>hors localité----Route secondaireCirculation mixtenon--Piste cyclable-</v>
          </cell>
          <cell r="N87">
            <v>1.48E-3</v>
          </cell>
          <cell r="O87">
            <v>0.61</v>
          </cell>
          <cell r="P87">
            <v>9.7000000000000003E-2</v>
          </cell>
          <cell r="Q87">
            <v>0.40762584809404889</v>
          </cell>
          <cell r="R87">
            <v>9.1999999999999998E-2</v>
          </cell>
          <cell r="S87">
            <v>11000</v>
          </cell>
        </row>
        <row r="88">
          <cell r="M88" t="str">
            <v>hors localité----Route secondaireTunnel-----</v>
          </cell>
          <cell r="N88">
            <v>1.0600000000000002E-3</v>
          </cell>
          <cell r="O88">
            <v>0.61</v>
          </cell>
          <cell r="P88">
            <v>4.2999999999999997E-2</v>
          </cell>
          <cell r="Q88">
            <v>0.40762584809404889</v>
          </cell>
          <cell r="R88">
            <v>9.1999999999999998E-2</v>
          </cell>
          <cell r="S88">
            <v>12500</v>
          </cell>
        </row>
        <row r="89">
          <cell r="M89" t="str">
            <v>autoroute/route express----AutorouteCirculation mixte----&gt;2 voies dans chaque sens</v>
          </cell>
          <cell r="N89">
            <v>5.8200000000000005E-8</v>
          </cell>
          <cell r="O89">
            <v>1.57</v>
          </cell>
          <cell r="P89">
            <v>1.2E-2</v>
          </cell>
          <cell r="Q89">
            <v>2.1344951115014643</v>
          </cell>
          <cell r="R89">
            <v>1.8749999999999999E-2</v>
          </cell>
          <cell r="S89">
            <v>70000</v>
          </cell>
        </row>
        <row r="90">
          <cell r="M90" t="str">
            <v>autoroute/route express----AutorouteCirculation mixte----&lt;= 2 voies par sens de circulation</v>
          </cell>
          <cell r="N90">
            <v>7.3099999999999999E-8</v>
          </cell>
          <cell r="O90">
            <v>1.57</v>
          </cell>
          <cell r="P90">
            <v>1.4E-2</v>
          </cell>
          <cell r="Q90">
            <v>2.1344951115014643</v>
          </cell>
          <cell r="R90">
            <v>1.8749999999999999E-2</v>
          </cell>
          <cell r="S90">
            <v>45000</v>
          </cell>
        </row>
        <row r="91">
          <cell r="M91" t="str">
            <v>autoroute/route express----AutorouteTunnel-----</v>
          </cell>
          <cell r="N91">
            <v>5.8200000000000005E-8</v>
          </cell>
          <cell r="O91">
            <v>1.57</v>
          </cell>
          <cell r="P91">
            <v>1.7999999999999999E-2</v>
          </cell>
          <cell r="Q91">
            <v>2.1344951115014643</v>
          </cell>
          <cell r="R91">
            <v>1.8749999999999999E-2</v>
          </cell>
          <cell r="S91">
            <v>20000</v>
          </cell>
        </row>
        <row r="92">
          <cell r="M92" t="str">
            <v>autoroute/route express----Rampe aux échangeurs------</v>
          </cell>
          <cell r="N92">
            <v>1.3999999999999999E-4</v>
          </cell>
          <cell r="O92">
            <v>0.88</v>
          </cell>
          <cell r="P92">
            <v>1.9E-2</v>
          </cell>
          <cell r="Q92">
            <v>2.1344951115014643</v>
          </cell>
          <cell r="R92">
            <v>1.8749999999999999E-2</v>
          </cell>
          <cell r="S92">
            <v>15000</v>
          </cell>
        </row>
        <row r="93">
          <cell r="M93" t="str">
            <v>autoroute/route express----route expressCirculation mixte----Avec séparation physique</v>
          </cell>
          <cell r="N93">
            <v>3.29E-5</v>
          </cell>
          <cell r="O93">
            <v>0.96</v>
          </cell>
          <cell r="P93">
            <v>1.7999999999999999E-2</v>
          </cell>
          <cell r="Q93">
            <v>0.67712976295048399</v>
          </cell>
          <cell r="R93">
            <v>0.10150000000000001</v>
          </cell>
          <cell r="S93">
            <v>35000</v>
          </cell>
        </row>
        <row r="94">
          <cell r="M94" t="str">
            <v>autoroute/route express----route expressCirculation mixte----Sans séparation physique</v>
          </cell>
          <cell r="N94">
            <v>1.16E-4</v>
          </cell>
          <cell r="O94">
            <v>0.84</v>
          </cell>
          <cell r="P94">
            <v>6.0999999999999999E-2</v>
          </cell>
          <cell r="Q94">
            <v>0.67712976295048399</v>
          </cell>
          <cell r="R94">
            <v>0.10150000000000001</v>
          </cell>
          <cell r="S94">
            <v>18000</v>
          </cell>
        </row>
        <row r="95">
          <cell r="M95" t="str">
            <v>autoroute/route express----route expressTunnel----Avec séparation physique</v>
          </cell>
          <cell r="N95">
            <v>7.6699999999999994E-6</v>
          </cell>
          <cell r="O95">
            <v>1.08</v>
          </cell>
          <cell r="P95">
            <v>6.7000000000000004E-2</v>
          </cell>
          <cell r="Q95">
            <v>0.67712976295048399</v>
          </cell>
          <cell r="R95">
            <v>0.10150000000000001</v>
          </cell>
          <cell r="S95">
            <v>20000</v>
          </cell>
        </row>
        <row r="96">
          <cell r="M96" t="str">
            <v>autoroute/route express----route expressTunnel----Sans séparation physique</v>
          </cell>
          <cell r="N96">
            <v>7.0600000000000008E-5</v>
          </cell>
          <cell r="O96">
            <v>0.84</v>
          </cell>
          <cell r="P96">
            <v>0.113</v>
          </cell>
          <cell r="Q96">
            <v>0.67712976295048399</v>
          </cell>
          <cell r="R96">
            <v>0.10150000000000001</v>
          </cell>
          <cell r="S96">
            <v>17500</v>
          </cell>
        </row>
      </sheetData>
      <sheetData sheetId="7"/>
    </sheetDataSet>
  </externalBook>
</externalLink>
</file>

<file path=xl/persons/person.xml><?xml version="1.0" encoding="utf-8"?>
<personList xmlns="http://schemas.microsoft.com/office/spreadsheetml/2018/threadedcomments" xmlns:x="http://schemas.openxmlformats.org/spreadsheetml/2006/main">
  <person displayName="Niemann Steffen" id="{84B1973C-8A84-404C-ABAB-225430E48911}" userId="S::s.niemann@bfu.ch::b3ce6869-dd68-49f4-80ff-513c054549a6"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 dT="2025-03-23T07:44:37.46" personId="{84B1973C-8A84-404C-ABAB-225430E48911}" id="{67D73126-A000-42E1-84F2-A6E0107A8B4F}">
    <text xml:space="preserve">Formater en tant que texte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BDE6D-4212-43F8-8C28-B8AADE0B3C3F}">
  <sheetPr codeName="Tabelle1">
    <tabColor theme="1"/>
  </sheetPr>
  <dimension ref="A1:S228"/>
  <sheetViews>
    <sheetView tabSelected="1" topLeftCell="A13" zoomScaleNormal="100" workbookViewId="0">
      <selection activeCell="O27" sqref="O27"/>
    </sheetView>
  </sheetViews>
  <sheetFormatPr baseColWidth="10" defaultColWidth="11.140625" defaultRowHeight="12"/>
  <cols>
    <col min="2" max="2" width="7.5703125" customWidth="1"/>
  </cols>
  <sheetData>
    <row r="1" spans="1:19">
      <c r="A1" s="1"/>
      <c r="B1" s="1"/>
      <c r="C1" s="1"/>
      <c r="D1" s="1"/>
      <c r="E1" s="1"/>
      <c r="F1" s="1"/>
      <c r="G1" s="1"/>
      <c r="H1" s="1"/>
      <c r="I1" s="1"/>
      <c r="J1" s="1"/>
      <c r="K1" s="1"/>
      <c r="L1" s="1"/>
      <c r="M1" s="1"/>
      <c r="N1" s="1"/>
      <c r="O1" s="1"/>
      <c r="P1" s="1"/>
      <c r="Q1" s="1"/>
      <c r="R1" s="1"/>
      <c r="S1" s="1"/>
    </row>
    <row r="2" spans="1:19">
      <c r="A2" s="1"/>
      <c r="B2" s="1"/>
      <c r="C2" s="1"/>
      <c r="D2" s="1"/>
      <c r="E2" s="1"/>
      <c r="F2" s="1"/>
      <c r="G2" s="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c r="N5" s="1"/>
      <c r="O5" s="1"/>
      <c r="P5" s="1"/>
      <c r="Q5" s="1"/>
      <c r="R5" s="1"/>
      <c r="S5" s="1"/>
    </row>
    <row r="6" spans="1:19">
      <c r="A6" s="1"/>
      <c r="B6" s="1"/>
      <c r="C6" s="1"/>
      <c r="D6" s="1"/>
      <c r="E6" s="1"/>
      <c r="F6" s="1"/>
      <c r="G6" s="1"/>
      <c r="H6" s="1"/>
      <c r="I6" s="1"/>
      <c r="J6" s="1"/>
      <c r="K6" s="1"/>
      <c r="L6" s="1"/>
      <c r="M6" s="1"/>
      <c r="N6" s="1"/>
      <c r="O6" s="1"/>
      <c r="P6" s="1"/>
      <c r="Q6" s="1"/>
      <c r="R6" s="1"/>
      <c r="S6" s="1"/>
    </row>
    <row r="7" spans="1:19">
      <c r="A7" s="1"/>
      <c r="B7" s="1"/>
      <c r="C7" s="1"/>
      <c r="D7" s="1"/>
      <c r="E7" s="1"/>
      <c r="F7" s="1"/>
      <c r="G7" s="1"/>
      <c r="H7" s="1"/>
      <c r="I7" s="1"/>
      <c r="J7" s="1"/>
      <c r="K7" s="1"/>
      <c r="L7" s="1"/>
      <c r="M7" s="1"/>
      <c r="N7" s="1"/>
      <c r="O7" s="1"/>
      <c r="P7" s="1"/>
      <c r="Q7" s="1"/>
      <c r="R7" s="1"/>
      <c r="S7" s="1"/>
    </row>
    <row r="8" spans="1:19">
      <c r="A8" s="1"/>
      <c r="B8" s="1"/>
      <c r="C8" s="1"/>
      <c r="D8" s="1"/>
      <c r="E8" s="1"/>
      <c r="F8" s="1"/>
      <c r="G8" s="1"/>
      <c r="H8" s="1"/>
      <c r="I8" s="1"/>
      <c r="J8" s="1"/>
      <c r="K8" s="1"/>
      <c r="L8" s="1"/>
      <c r="M8" s="1"/>
      <c r="N8" s="1"/>
      <c r="O8" s="1"/>
      <c r="P8" s="1"/>
      <c r="Q8" s="1"/>
      <c r="R8" s="1"/>
      <c r="S8" s="1"/>
    </row>
    <row r="9" spans="1:19" ht="45">
      <c r="A9" s="1"/>
      <c r="B9" s="1"/>
      <c r="C9" s="6" t="s">
        <v>1506</v>
      </c>
      <c r="D9" s="1"/>
      <c r="E9" s="1"/>
      <c r="F9" s="1"/>
      <c r="G9" s="1"/>
      <c r="H9" s="1"/>
      <c r="I9" s="1"/>
      <c r="J9" s="1"/>
      <c r="K9" s="1"/>
      <c r="L9" s="1"/>
      <c r="M9" s="1"/>
      <c r="N9" s="1"/>
      <c r="O9" s="1"/>
      <c r="P9" s="1"/>
      <c r="Q9" s="1"/>
      <c r="R9" s="1"/>
      <c r="S9" s="1"/>
    </row>
    <row r="10" spans="1:19">
      <c r="A10" s="1"/>
      <c r="B10" s="1"/>
      <c r="C10" s="1"/>
      <c r="D10" s="1"/>
      <c r="E10" s="1"/>
      <c r="F10" s="1"/>
      <c r="G10" s="1"/>
      <c r="H10" s="1"/>
      <c r="I10" s="1"/>
      <c r="J10" s="1"/>
      <c r="K10" s="1"/>
      <c r="L10" s="1"/>
      <c r="M10" s="1"/>
      <c r="N10" s="1"/>
      <c r="O10" s="1"/>
      <c r="P10" s="1"/>
      <c r="Q10" s="1"/>
      <c r="R10" s="1"/>
      <c r="S10" s="1"/>
    </row>
    <row r="11" spans="1:19">
      <c r="A11" s="1"/>
      <c r="B11" s="1"/>
      <c r="C11" s="1"/>
      <c r="D11" s="1"/>
      <c r="E11" s="1"/>
      <c r="F11" s="1"/>
      <c r="G11" s="1"/>
      <c r="H11" s="1"/>
      <c r="I11" s="1"/>
      <c r="J11" s="1"/>
      <c r="K11" s="1"/>
      <c r="L11" s="1"/>
      <c r="M11" s="1"/>
      <c r="N11" s="1"/>
      <c r="O11" s="1"/>
      <c r="P11" s="1"/>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1"/>
      <c r="C14" s="1"/>
      <c r="D14" s="1"/>
      <c r="E14" s="1"/>
      <c r="F14" s="1"/>
      <c r="G14" s="1"/>
      <c r="H14" s="1"/>
      <c r="I14" s="1"/>
      <c r="J14" s="1"/>
      <c r="K14" s="1"/>
      <c r="L14" s="1"/>
      <c r="M14" s="1"/>
      <c r="N14" s="1"/>
      <c r="O14" s="1"/>
      <c r="P14" s="1"/>
      <c r="Q14" s="1"/>
      <c r="R14" s="1"/>
      <c r="S14" s="1"/>
    </row>
    <row r="15" spans="1:19" ht="15.75">
      <c r="A15" s="1"/>
      <c r="B15" s="1"/>
      <c r="C15" s="3" t="s">
        <v>0</v>
      </c>
      <c r="D15" s="1"/>
      <c r="E15" s="1"/>
      <c r="F15" s="1"/>
      <c r="G15" s="1"/>
      <c r="H15" s="1"/>
      <c r="I15" s="1"/>
      <c r="J15" s="1"/>
      <c r="K15" s="1"/>
      <c r="L15" s="1"/>
      <c r="M15" s="1"/>
      <c r="N15" s="1"/>
      <c r="O15" s="1"/>
      <c r="P15" s="1"/>
      <c r="Q15" s="1"/>
      <c r="R15" s="1"/>
      <c r="S15" s="1"/>
    </row>
    <row r="16" spans="1:19">
      <c r="A16" s="1"/>
      <c r="B16" s="1"/>
      <c r="C16" s="1"/>
      <c r="D16" s="1"/>
      <c r="E16" s="1"/>
      <c r="F16" s="1"/>
      <c r="G16" s="1"/>
      <c r="H16" s="1"/>
      <c r="I16" s="1"/>
      <c r="J16" s="1"/>
      <c r="K16" s="1"/>
      <c r="L16" s="1"/>
      <c r="M16" s="1"/>
      <c r="N16" s="1"/>
      <c r="O16" s="1"/>
      <c r="P16" s="1"/>
      <c r="Q16" s="1"/>
      <c r="R16" s="1"/>
      <c r="S16" s="1"/>
    </row>
    <row r="17" spans="1:19" ht="12.75">
      <c r="A17" s="1"/>
      <c r="B17" s="1"/>
      <c r="C17" s="4" t="s">
        <v>1</v>
      </c>
      <c r="D17" s="1"/>
      <c r="E17" s="1"/>
      <c r="F17" s="1"/>
      <c r="G17" s="1"/>
      <c r="H17" s="1"/>
      <c r="I17" s="1"/>
      <c r="J17" s="1"/>
      <c r="K17" s="1"/>
      <c r="L17" s="1"/>
      <c r="M17" s="1"/>
      <c r="N17" s="1"/>
      <c r="O17" s="1"/>
      <c r="P17" s="1"/>
      <c r="Q17" s="1"/>
      <c r="R17" s="1"/>
      <c r="S17" s="1"/>
    </row>
    <row r="18" spans="1:19" ht="20.25" customHeight="1">
      <c r="A18" s="1"/>
      <c r="B18" s="1"/>
      <c r="C18" s="4" t="s">
        <v>1507</v>
      </c>
      <c r="D18" s="1"/>
      <c r="E18" s="1"/>
      <c r="F18" s="1"/>
      <c r="G18" s="1"/>
      <c r="H18" s="1"/>
      <c r="I18" s="1"/>
      <c r="J18" s="1"/>
      <c r="K18" s="1"/>
      <c r="L18" s="1"/>
      <c r="M18" s="1"/>
      <c r="N18" s="1"/>
      <c r="O18" s="1"/>
      <c r="P18" s="1"/>
      <c r="Q18" s="1"/>
      <c r="R18" s="1"/>
      <c r="S18" s="1"/>
    </row>
    <row r="19" spans="1:19" ht="12.75">
      <c r="A19" s="1"/>
      <c r="B19" s="1"/>
      <c r="C19" s="4" t="s">
        <v>1509</v>
      </c>
      <c r="D19" s="1"/>
      <c r="E19" s="1"/>
      <c r="F19" s="1"/>
      <c r="G19" s="1"/>
      <c r="H19" s="1"/>
      <c r="I19" s="1"/>
      <c r="J19" s="1"/>
      <c r="K19" s="1"/>
      <c r="L19" s="1"/>
      <c r="M19" s="1"/>
      <c r="N19" s="1"/>
      <c r="O19" s="1"/>
      <c r="P19" s="1"/>
      <c r="Q19" s="1"/>
      <c r="R19" s="1"/>
      <c r="S19" s="1"/>
    </row>
    <row r="20" spans="1:19" ht="12.75">
      <c r="A20" s="1"/>
      <c r="B20" s="1"/>
      <c r="C20" s="4" t="s">
        <v>1508</v>
      </c>
      <c r="D20" s="1"/>
      <c r="E20" s="1"/>
      <c r="F20" s="1"/>
      <c r="G20" s="1"/>
      <c r="H20" s="1"/>
      <c r="I20" s="1"/>
      <c r="J20" s="1"/>
      <c r="K20" s="1"/>
      <c r="L20" s="1"/>
      <c r="M20" s="1"/>
      <c r="N20" s="1"/>
      <c r="O20" s="1"/>
      <c r="P20" s="1"/>
      <c r="Q20" s="1"/>
      <c r="R20" s="1"/>
      <c r="S20" s="1"/>
    </row>
    <row r="21" spans="1:19">
      <c r="A21" s="1"/>
      <c r="B21" s="1"/>
      <c r="C21" s="1"/>
      <c r="D21" s="1"/>
      <c r="E21" s="1"/>
      <c r="F21" s="1"/>
      <c r="G21" s="1"/>
      <c r="H21" s="1"/>
      <c r="I21" s="1"/>
      <c r="J21" s="1"/>
      <c r="K21" s="1"/>
      <c r="L21" s="1"/>
      <c r="M21" s="1"/>
      <c r="N21" s="1"/>
      <c r="O21" s="1"/>
      <c r="P21" s="1"/>
      <c r="Q21" s="1"/>
      <c r="R21" s="1"/>
      <c r="S21" s="1"/>
    </row>
    <row r="22" spans="1:19">
      <c r="A22" s="1"/>
      <c r="B22" s="1"/>
      <c r="C22" s="1"/>
      <c r="D22" s="1"/>
      <c r="E22" s="1"/>
      <c r="F22" s="1"/>
      <c r="G22" s="1"/>
      <c r="H22" s="1"/>
      <c r="I22" s="1"/>
      <c r="J22" s="1"/>
      <c r="K22" s="1"/>
      <c r="L22" s="1"/>
      <c r="M22" s="1"/>
      <c r="N22" s="1"/>
      <c r="O22" s="1"/>
      <c r="P22" s="1"/>
      <c r="Q22" s="1"/>
      <c r="R22" s="1"/>
      <c r="S22" s="1"/>
    </row>
    <row r="23" spans="1:19">
      <c r="A23" s="1"/>
      <c r="B23" s="1"/>
      <c r="C23" s="1"/>
      <c r="D23" s="1"/>
      <c r="E23" s="1"/>
      <c r="F23" s="1"/>
      <c r="G23" s="1"/>
      <c r="H23" s="1"/>
      <c r="I23" s="1"/>
      <c r="J23" s="1"/>
      <c r="K23" s="1"/>
      <c r="L23" s="1"/>
      <c r="M23" s="1"/>
      <c r="N23" s="1"/>
      <c r="O23" s="1"/>
      <c r="P23" s="1"/>
      <c r="Q23" s="1"/>
      <c r="R23" s="1"/>
      <c r="S23" s="1"/>
    </row>
    <row r="24" spans="1:19">
      <c r="A24" s="1"/>
      <c r="B24" s="1"/>
      <c r="C24" s="1"/>
      <c r="D24" s="1"/>
      <c r="E24" s="1"/>
      <c r="F24" s="1"/>
      <c r="G24" s="1"/>
      <c r="H24" s="1"/>
      <c r="I24" s="1"/>
      <c r="J24" s="1"/>
      <c r="K24" s="1"/>
      <c r="L24" s="1"/>
      <c r="M24" s="1"/>
      <c r="N24" s="1"/>
      <c r="O24" s="1"/>
      <c r="P24" s="1"/>
      <c r="Q24" s="1"/>
      <c r="R24" s="1"/>
      <c r="S24" s="1"/>
    </row>
    <row r="25" spans="1:19">
      <c r="A25" s="1"/>
      <c r="B25" s="1"/>
      <c r="C25" s="1"/>
      <c r="D25" s="1"/>
      <c r="E25" s="1"/>
      <c r="F25" s="1"/>
      <c r="G25" s="1"/>
      <c r="H25" s="1"/>
      <c r="I25" s="1"/>
      <c r="J25" s="1"/>
      <c r="K25" s="1"/>
      <c r="L25" s="1"/>
      <c r="M25" s="1"/>
      <c r="N25" s="1"/>
      <c r="O25" s="1"/>
      <c r="P25" s="1"/>
      <c r="Q25" s="1"/>
      <c r="R25" s="1"/>
      <c r="S25" s="1"/>
    </row>
    <row r="26" spans="1:19">
      <c r="A26" s="1"/>
      <c r="B26" s="1"/>
      <c r="C26" s="1"/>
      <c r="D26" s="1"/>
      <c r="E26" s="1"/>
      <c r="F26" s="1"/>
      <c r="G26" s="1"/>
      <c r="H26" s="1"/>
      <c r="I26" s="1"/>
      <c r="J26" s="1"/>
      <c r="K26" s="1"/>
      <c r="L26" s="1"/>
      <c r="M26" s="1"/>
      <c r="N26" s="1"/>
      <c r="O26" s="1"/>
      <c r="P26" s="1"/>
      <c r="Q26" s="1"/>
      <c r="R26" s="1"/>
      <c r="S26" s="1"/>
    </row>
    <row r="27" spans="1:19">
      <c r="A27" s="1"/>
      <c r="B27" s="1"/>
      <c r="C27" s="1"/>
      <c r="D27" s="1"/>
      <c r="E27" s="1"/>
      <c r="F27" s="1"/>
      <c r="G27" s="1"/>
      <c r="H27" s="1"/>
      <c r="I27" s="1"/>
      <c r="J27" s="1"/>
      <c r="K27" s="1"/>
      <c r="L27" s="1"/>
      <c r="M27" s="1"/>
      <c r="N27" s="1"/>
      <c r="O27" s="1"/>
      <c r="P27" s="1"/>
      <c r="Q27" s="1"/>
      <c r="R27" s="1"/>
      <c r="S27" s="1"/>
    </row>
    <row r="28" spans="1:19">
      <c r="A28" s="1"/>
      <c r="B28" s="1"/>
      <c r="C28" s="1"/>
      <c r="D28" s="1"/>
      <c r="E28" s="1"/>
      <c r="F28" s="1"/>
      <c r="G28" s="1"/>
      <c r="H28" s="1"/>
      <c r="I28" s="1"/>
      <c r="J28" s="1"/>
      <c r="K28" s="1"/>
      <c r="L28" s="1"/>
      <c r="M28" s="1"/>
      <c r="N28" s="1"/>
      <c r="O28" s="1"/>
      <c r="P28" s="1"/>
      <c r="Q28" s="1"/>
      <c r="R28" s="1"/>
      <c r="S28" s="1"/>
    </row>
    <row r="29" spans="1:19">
      <c r="A29" s="1"/>
      <c r="B29" s="1"/>
      <c r="C29" s="1"/>
      <c r="D29" s="1"/>
      <c r="E29" s="1"/>
      <c r="F29" s="1"/>
      <c r="G29" s="1"/>
      <c r="H29" s="1"/>
      <c r="I29" s="1"/>
      <c r="J29" s="1"/>
      <c r="K29" s="1"/>
      <c r="L29" s="1"/>
      <c r="M29" s="1"/>
      <c r="N29" s="1"/>
      <c r="O29" s="1"/>
      <c r="P29" s="1"/>
      <c r="Q29" s="1"/>
      <c r="R29" s="1"/>
      <c r="S29" s="1"/>
    </row>
    <row r="30" spans="1:19">
      <c r="A30" s="1"/>
      <c r="B30" s="1"/>
      <c r="C30" s="1"/>
      <c r="D30" s="1"/>
      <c r="E30" s="1"/>
      <c r="F30" s="1"/>
      <c r="G30" s="1"/>
      <c r="H30" s="1"/>
      <c r="I30" s="1"/>
      <c r="J30" s="1"/>
      <c r="K30" s="1"/>
      <c r="L30" s="1"/>
      <c r="M30" s="1"/>
      <c r="N30" s="1"/>
      <c r="O30" s="1"/>
      <c r="P30" s="1"/>
      <c r="Q30" s="1"/>
      <c r="R30" s="1"/>
      <c r="S30" s="1"/>
    </row>
    <row r="31" spans="1:19">
      <c r="A31" s="1"/>
      <c r="B31" s="1"/>
      <c r="C31" s="1"/>
      <c r="D31" s="1"/>
      <c r="E31" s="1"/>
      <c r="F31" s="1"/>
      <c r="G31" s="1"/>
      <c r="H31" s="1"/>
      <c r="I31" s="1"/>
      <c r="J31" s="1"/>
      <c r="K31" s="1"/>
      <c r="L31" s="1"/>
      <c r="M31" s="1"/>
      <c r="N31" s="1"/>
      <c r="O31" s="1"/>
      <c r="P31" s="1"/>
      <c r="Q31" s="1"/>
      <c r="R31" s="1"/>
      <c r="S31" s="1"/>
    </row>
    <row r="32" spans="1:19">
      <c r="A32" s="1"/>
      <c r="B32" s="1"/>
      <c r="C32" s="1"/>
      <c r="D32" s="1"/>
      <c r="E32" s="1"/>
      <c r="F32" s="1"/>
      <c r="G32" s="1"/>
      <c r="H32" s="1"/>
      <c r="I32" s="1"/>
      <c r="J32" s="1"/>
      <c r="K32" s="1"/>
      <c r="L32" s="1"/>
      <c r="M32" s="1"/>
      <c r="N32" s="1"/>
      <c r="O32" s="1"/>
      <c r="P32" s="1"/>
      <c r="Q32" s="1"/>
      <c r="R32" s="1"/>
      <c r="S32" s="1"/>
    </row>
    <row r="33" spans="1:19">
      <c r="A33" s="1"/>
      <c r="B33" s="1"/>
      <c r="C33" s="1"/>
      <c r="D33" s="1"/>
      <c r="E33" s="1"/>
      <c r="F33" s="1"/>
      <c r="G33" s="1"/>
      <c r="H33" s="1"/>
      <c r="I33" s="1"/>
      <c r="J33" s="1"/>
      <c r="K33" s="1"/>
      <c r="L33" s="1"/>
      <c r="M33" s="1"/>
      <c r="N33" s="1"/>
      <c r="O33" s="1"/>
      <c r="P33" s="1"/>
      <c r="Q33" s="1"/>
      <c r="R33" s="1"/>
      <c r="S33" s="1"/>
    </row>
    <row r="34" spans="1:19">
      <c r="A34" s="1"/>
      <c r="B34" s="1"/>
      <c r="C34" s="1"/>
      <c r="D34" s="1"/>
      <c r="E34" s="1"/>
      <c r="F34" s="1"/>
      <c r="G34" s="1"/>
      <c r="H34" s="1"/>
      <c r="I34" s="1"/>
      <c r="J34" s="1"/>
      <c r="K34" s="1"/>
      <c r="L34" s="1"/>
      <c r="M34" s="1"/>
      <c r="N34" s="1"/>
      <c r="O34" s="1"/>
      <c r="P34" s="1"/>
      <c r="Q34" s="1"/>
      <c r="R34" s="1"/>
      <c r="S34" s="1"/>
    </row>
    <row r="35" spans="1:19">
      <c r="A35" s="1"/>
      <c r="B35" s="1"/>
      <c r="C35" s="1"/>
      <c r="D35" s="1"/>
      <c r="E35" s="1"/>
      <c r="F35" s="1"/>
      <c r="G35" s="1"/>
      <c r="H35" s="1"/>
      <c r="I35" s="1"/>
      <c r="J35" s="1"/>
      <c r="K35" s="1"/>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row r="40" spans="1:19">
      <c r="A40" s="1"/>
      <c r="B40" s="1"/>
      <c r="C40" s="1"/>
      <c r="D40" s="1"/>
      <c r="E40" s="1"/>
      <c r="F40" s="1"/>
      <c r="G40" s="1"/>
      <c r="H40" s="1"/>
      <c r="I40" s="1"/>
      <c r="J40" s="1"/>
      <c r="K40" s="1"/>
      <c r="L40" s="1"/>
      <c r="M40" s="1"/>
      <c r="N40" s="1"/>
      <c r="O40" s="1"/>
      <c r="P40" s="1"/>
      <c r="Q40" s="1"/>
      <c r="R40" s="1"/>
      <c r="S40" s="1"/>
    </row>
    <row r="41" spans="1:19">
      <c r="A41" s="1"/>
      <c r="B41" s="1"/>
      <c r="C41" s="1"/>
      <c r="D41" s="1"/>
      <c r="E41" s="1"/>
      <c r="F41" s="1"/>
      <c r="G41" s="1"/>
      <c r="H41" s="1"/>
      <c r="I41" s="1"/>
      <c r="J41" s="1"/>
      <c r="K41" s="1"/>
      <c r="L41" s="1"/>
      <c r="M41" s="1"/>
      <c r="N41" s="1"/>
      <c r="O41" s="1"/>
      <c r="P41" s="1"/>
      <c r="Q41" s="1"/>
      <c r="R41" s="1"/>
      <c r="S41" s="1"/>
    </row>
    <row r="42" spans="1:19">
      <c r="A42" s="1"/>
      <c r="B42" s="1"/>
      <c r="C42" s="1"/>
      <c r="D42" s="1"/>
      <c r="E42" s="1"/>
      <c r="F42" s="1"/>
      <c r="G42" s="1"/>
      <c r="H42" s="1"/>
      <c r="I42" s="1"/>
      <c r="J42" s="1"/>
      <c r="K42" s="1"/>
      <c r="L42" s="1"/>
      <c r="M42" s="1"/>
      <c r="N42" s="1"/>
      <c r="O42" s="1"/>
      <c r="P42" s="1"/>
      <c r="Q42" s="1"/>
      <c r="R42" s="1"/>
      <c r="S42" s="1"/>
    </row>
    <row r="43" spans="1:19">
      <c r="A43" s="1"/>
      <c r="B43" s="1"/>
      <c r="C43" s="1"/>
      <c r="D43" s="1"/>
      <c r="E43" s="1"/>
      <c r="F43" s="1"/>
      <c r="G43" s="1"/>
      <c r="H43" s="1"/>
      <c r="I43" s="1"/>
      <c r="J43" s="1"/>
      <c r="K43" s="1"/>
      <c r="L43" s="1"/>
      <c r="M43" s="1"/>
      <c r="N43" s="1"/>
      <c r="O43" s="1"/>
      <c r="P43" s="1"/>
      <c r="Q43" s="1"/>
      <c r="R43" s="1"/>
      <c r="S43" s="1"/>
    </row>
    <row r="44" spans="1:19">
      <c r="A44" s="1"/>
      <c r="B44" s="1"/>
      <c r="C44" s="1"/>
      <c r="D44" s="1"/>
      <c r="E44" s="1"/>
      <c r="F44" s="1"/>
      <c r="G44" s="1"/>
      <c r="H44" s="1"/>
      <c r="I44" s="1"/>
      <c r="J44" s="1"/>
      <c r="K44" s="1"/>
      <c r="L44" s="1"/>
      <c r="M44" s="1"/>
      <c r="N44" s="1"/>
      <c r="O44" s="1"/>
      <c r="P44" s="1"/>
      <c r="Q44" s="1"/>
      <c r="R44" s="1"/>
      <c r="S44" s="1"/>
    </row>
    <row r="45" spans="1:19">
      <c r="A45" s="1"/>
      <c r="B45" s="1"/>
      <c r="C45" s="1"/>
      <c r="D45" s="1"/>
      <c r="E45" s="1"/>
      <c r="F45" s="1"/>
      <c r="G45" s="1"/>
      <c r="H45" s="1"/>
      <c r="I45" s="1"/>
      <c r="J45" s="1"/>
      <c r="K45" s="1"/>
      <c r="L45" s="1"/>
      <c r="M45" s="1"/>
      <c r="N45" s="1"/>
      <c r="O45" s="1"/>
      <c r="P45" s="1"/>
      <c r="Q45" s="1"/>
      <c r="R45" s="1"/>
      <c r="S45" s="1"/>
    </row>
    <row r="46" spans="1:19">
      <c r="A46" s="1"/>
      <c r="B46" s="1"/>
      <c r="C46" s="1"/>
      <c r="D46" s="1"/>
      <c r="E46" s="1"/>
      <c r="F46" s="1"/>
      <c r="G46" s="1"/>
      <c r="H46" s="1"/>
      <c r="I46" s="1"/>
      <c r="J46" s="1"/>
      <c r="K46" s="1"/>
      <c r="L46" s="1"/>
      <c r="M46" s="1"/>
      <c r="N46" s="1"/>
      <c r="O46" s="1"/>
      <c r="P46" s="1"/>
      <c r="Q46" s="1"/>
      <c r="R46" s="1"/>
      <c r="S46" s="1"/>
    </row>
    <row r="47" spans="1:19">
      <c r="A47" s="1"/>
      <c r="B47" s="1"/>
      <c r="C47" s="1"/>
      <c r="D47" s="1"/>
      <c r="E47" s="1"/>
      <c r="F47" s="1"/>
      <c r="G47" s="1"/>
      <c r="H47" s="1"/>
      <c r="I47" s="1"/>
      <c r="J47" s="1"/>
      <c r="K47" s="1"/>
      <c r="L47" s="1"/>
      <c r="M47" s="1"/>
      <c r="N47" s="1"/>
      <c r="O47" s="1"/>
      <c r="P47" s="1"/>
      <c r="Q47" s="1"/>
      <c r="R47" s="1"/>
      <c r="S47" s="1"/>
    </row>
    <row r="48" spans="1:19">
      <c r="A48" s="1"/>
      <c r="B48" s="1"/>
      <c r="C48" s="1"/>
      <c r="D48" s="1"/>
      <c r="E48" s="1"/>
      <c r="F48" s="1"/>
      <c r="G48" s="1"/>
      <c r="H48" s="1"/>
      <c r="I48" s="1"/>
      <c r="J48" s="1"/>
      <c r="K48" s="1"/>
      <c r="L48" s="1"/>
      <c r="M48" s="1"/>
      <c r="N48" s="1"/>
      <c r="O48" s="1"/>
      <c r="P48" s="1"/>
      <c r="Q48" s="1"/>
      <c r="R48" s="1"/>
      <c r="S48" s="1"/>
    </row>
    <row r="49" spans="1:19" ht="31.5" customHeight="1">
      <c r="A49" s="1"/>
      <c r="B49" s="1"/>
      <c r="C49" s="1"/>
      <c r="D49" s="1"/>
      <c r="E49" s="1"/>
      <c r="F49" s="1"/>
      <c r="G49" s="1"/>
      <c r="H49" s="1"/>
      <c r="I49" s="1"/>
      <c r="J49" s="1"/>
      <c r="K49" s="1"/>
      <c r="L49" s="1"/>
      <c r="M49" s="1"/>
      <c r="N49" s="1"/>
      <c r="O49" s="1"/>
      <c r="P49" s="1"/>
      <c r="Q49" s="1"/>
      <c r="R49" s="1"/>
      <c r="S49" s="1"/>
    </row>
    <row r="50" spans="1:19" ht="12.75">
      <c r="A50" s="1"/>
      <c r="B50" s="1"/>
      <c r="C50" s="2" t="s">
        <v>1510</v>
      </c>
      <c r="D50" s="1"/>
      <c r="E50" s="1"/>
      <c r="F50" s="1"/>
      <c r="G50" s="1"/>
      <c r="H50" s="1"/>
      <c r="I50" s="1"/>
      <c r="J50" s="1"/>
      <c r="K50" s="1"/>
      <c r="L50" s="1"/>
      <c r="M50" s="1"/>
      <c r="N50" s="1"/>
      <c r="O50" s="1"/>
      <c r="P50" s="1"/>
      <c r="Q50" s="1"/>
      <c r="R50" s="1"/>
      <c r="S50" s="1"/>
    </row>
    <row r="51" spans="1:19">
      <c r="A51" s="1"/>
      <c r="B51" s="1"/>
      <c r="C51" s="1"/>
      <c r="D51" s="1"/>
      <c r="E51" s="1"/>
      <c r="F51" s="1"/>
      <c r="G51" s="1"/>
      <c r="H51" s="1"/>
      <c r="I51" s="1"/>
      <c r="J51" s="1"/>
      <c r="K51" s="1"/>
      <c r="L51" s="1"/>
      <c r="M51" s="1"/>
      <c r="N51" s="1"/>
      <c r="O51" s="1"/>
      <c r="P51" s="1"/>
      <c r="Q51" s="1"/>
      <c r="R51" s="1"/>
      <c r="S51" s="1"/>
    </row>
    <row r="52" spans="1:19">
      <c r="A52" s="1"/>
      <c r="B52" s="1"/>
      <c r="C52" s="1"/>
      <c r="D52" s="1"/>
      <c r="E52" s="1"/>
      <c r="F52" s="1"/>
      <c r="G52" s="1"/>
      <c r="H52" s="1"/>
      <c r="I52" s="1"/>
      <c r="J52" s="1"/>
      <c r="K52" s="1"/>
      <c r="L52" s="1"/>
      <c r="M52" s="1"/>
      <c r="N52" s="1"/>
      <c r="O52" s="1"/>
      <c r="P52" s="1"/>
      <c r="Q52" s="1"/>
      <c r="R52" s="1"/>
      <c r="S52" s="1"/>
    </row>
    <row r="53" spans="1:19" ht="13.5">
      <c r="A53" s="1"/>
      <c r="B53" s="1"/>
      <c r="C53" s="203"/>
      <c r="D53" s="1"/>
      <c r="E53" s="1"/>
      <c r="F53" s="1"/>
      <c r="G53" s="1"/>
      <c r="H53" s="1"/>
      <c r="I53" s="1"/>
      <c r="J53" s="1"/>
      <c r="K53" s="1"/>
      <c r="L53" s="1"/>
      <c r="M53" s="1"/>
      <c r="N53" s="1"/>
      <c r="O53" s="1"/>
      <c r="P53" s="1"/>
      <c r="Q53" s="1"/>
      <c r="R53" s="1"/>
      <c r="S53" s="1"/>
    </row>
    <row r="54" spans="1:19">
      <c r="A54" s="1"/>
      <c r="B54" s="1"/>
      <c r="C54" s="1"/>
      <c r="D54" s="1"/>
      <c r="E54" s="1"/>
      <c r="F54" s="1"/>
      <c r="G54" s="1"/>
      <c r="H54" s="1"/>
      <c r="I54" s="1"/>
      <c r="J54" s="1"/>
      <c r="K54" s="1"/>
      <c r="L54" s="1"/>
      <c r="M54" s="1"/>
      <c r="N54" s="1"/>
      <c r="O54" s="1"/>
      <c r="P54" s="1"/>
      <c r="Q54" s="1"/>
      <c r="R54" s="1"/>
      <c r="S54" s="1"/>
    </row>
    <row r="55" spans="1:19">
      <c r="A55" s="1"/>
      <c r="B55" s="1"/>
      <c r="C55" s="1"/>
      <c r="D55" s="1"/>
      <c r="E55" s="1"/>
      <c r="F55" s="1"/>
      <c r="G55" s="1"/>
      <c r="H55" s="1"/>
      <c r="I55" s="1"/>
      <c r="J55" s="1"/>
      <c r="K55" s="1"/>
      <c r="L55" s="1"/>
      <c r="M55" s="1"/>
      <c r="N55" s="1"/>
      <c r="O55" s="1"/>
      <c r="P55" s="1"/>
      <c r="Q55" s="1"/>
      <c r="R55" s="1"/>
      <c r="S55" s="1"/>
    </row>
    <row r="56" spans="1:19">
      <c r="A56" s="1"/>
      <c r="B56" s="1"/>
      <c r="C56" s="1"/>
      <c r="D56" s="1"/>
      <c r="E56" s="1"/>
      <c r="F56" s="1"/>
      <c r="G56" s="1"/>
      <c r="H56" s="1"/>
      <c r="I56" s="1"/>
      <c r="J56" s="1"/>
      <c r="K56" s="1"/>
      <c r="L56" s="1"/>
      <c r="M56" s="1"/>
      <c r="N56" s="1"/>
      <c r="O56" s="1"/>
      <c r="P56" s="1"/>
      <c r="Q56" s="1"/>
      <c r="R56" s="1"/>
      <c r="S56" s="1"/>
    </row>
    <row r="57" spans="1:19">
      <c r="A57" s="1"/>
      <c r="B57" s="1"/>
      <c r="C57" s="1"/>
      <c r="D57" s="1"/>
      <c r="E57" s="1"/>
      <c r="F57" s="1"/>
      <c r="G57" s="1"/>
      <c r="H57" s="1"/>
      <c r="I57" s="1"/>
      <c r="J57" s="1"/>
      <c r="K57" s="1"/>
      <c r="L57" s="1"/>
      <c r="M57" s="1"/>
      <c r="N57" s="1"/>
      <c r="O57" s="1"/>
      <c r="P57" s="1"/>
      <c r="Q57" s="1"/>
      <c r="R57" s="1"/>
      <c r="S57" s="1"/>
    </row>
    <row r="58" spans="1:19">
      <c r="A58" s="1"/>
      <c r="B58" s="1"/>
      <c r="C58" s="1"/>
      <c r="D58" s="1"/>
      <c r="E58" s="1"/>
      <c r="F58" s="1"/>
      <c r="G58" s="1"/>
      <c r="H58" s="1"/>
      <c r="I58" s="1"/>
      <c r="J58" s="1"/>
      <c r="K58" s="1"/>
      <c r="L58" s="1"/>
      <c r="M58" s="1"/>
      <c r="N58" s="1"/>
      <c r="O58" s="1"/>
      <c r="P58" s="1"/>
      <c r="Q58" s="1"/>
      <c r="R58" s="1"/>
      <c r="S58" s="1"/>
    </row>
    <row r="59" spans="1:19">
      <c r="A59" s="1"/>
      <c r="B59" s="1"/>
      <c r="C59" s="1"/>
      <c r="D59" s="1"/>
      <c r="E59" s="1"/>
      <c r="F59" s="1"/>
      <c r="G59" s="1"/>
      <c r="H59" s="1"/>
      <c r="I59" s="1"/>
      <c r="J59" s="1"/>
      <c r="K59" s="1"/>
      <c r="L59" s="1"/>
      <c r="M59" s="1"/>
      <c r="N59" s="1"/>
      <c r="O59" s="1"/>
      <c r="P59" s="1"/>
      <c r="Q59" s="1"/>
      <c r="R59" s="1"/>
      <c r="S59" s="1"/>
    </row>
    <row r="60" spans="1:19">
      <c r="A60" s="1"/>
      <c r="B60" s="1"/>
      <c r="C60" s="1"/>
      <c r="D60" s="1"/>
      <c r="E60" s="1"/>
      <c r="F60" s="1"/>
      <c r="G60" s="1"/>
      <c r="H60" s="1"/>
      <c r="I60" s="1"/>
      <c r="J60" s="1"/>
      <c r="K60" s="1"/>
      <c r="L60" s="1"/>
      <c r="M60" s="1"/>
      <c r="N60" s="1"/>
      <c r="O60" s="1"/>
      <c r="P60" s="1"/>
      <c r="Q60" s="1"/>
      <c r="R60" s="1"/>
      <c r="S60" s="1"/>
    </row>
    <row r="61" spans="1:19">
      <c r="A61" s="1"/>
      <c r="B61" s="1"/>
      <c r="C61" s="1"/>
      <c r="D61" s="1"/>
      <c r="E61" s="1"/>
      <c r="F61" s="1"/>
      <c r="G61" s="1"/>
      <c r="H61" s="1"/>
      <c r="I61" s="1"/>
      <c r="J61" s="1"/>
      <c r="K61" s="1"/>
      <c r="L61" s="1"/>
      <c r="M61" s="1"/>
      <c r="N61" s="1"/>
      <c r="O61" s="1"/>
      <c r="P61" s="1"/>
      <c r="Q61" s="1"/>
      <c r="R61" s="1"/>
      <c r="S61" s="1"/>
    </row>
    <row r="62" spans="1:19">
      <c r="A62" s="1"/>
      <c r="B62" s="1"/>
      <c r="C62" s="1"/>
      <c r="D62" s="1"/>
      <c r="E62" s="1"/>
      <c r="F62" s="1"/>
      <c r="G62" s="1"/>
      <c r="H62" s="1"/>
      <c r="I62" s="1"/>
      <c r="J62" s="1"/>
      <c r="K62" s="1"/>
      <c r="L62" s="1"/>
      <c r="M62" s="1"/>
      <c r="N62" s="1"/>
      <c r="O62" s="1"/>
      <c r="P62" s="1"/>
      <c r="Q62" s="1"/>
      <c r="R62" s="1"/>
      <c r="S62" s="1"/>
    </row>
    <row r="63" spans="1:19">
      <c r="A63" s="1"/>
      <c r="B63" s="1"/>
      <c r="C63" s="1"/>
      <c r="D63" s="1"/>
      <c r="E63" s="1"/>
      <c r="F63" s="1"/>
      <c r="G63" s="1"/>
      <c r="H63" s="1"/>
      <c r="I63" s="1"/>
      <c r="J63" s="1"/>
      <c r="K63" s="1"/>
      <c r="L63" s="1"/>
      <c r="M63" s="1"/>
      <c r="N63" s="1"/>
      <c r="O63" s="1"/>
      <c r="P63" s="1"/>
      <c r="Q63" s="1"/>
      <c r="R63" s="1"/>
      <c r="S63" s="1"/>
    </row>
    <row r="64" spans="1:19">
      <c r="A64" s="1"/>
      <c r="B64" s="1"/>
      <c r="C64" s="1"/>
      <c r="D64" s="1"/>
      <c r="E64" s="1"/>
      <c r="F64" s="1"/>
      <c r="G64" s="1"/>
      <c r="H64" s="1"/>
      <c r="I64" s="1"/>
      <c r="J64" s="1"/>
      <c r="K64" s="1"/>
      <c r="L64" s="1"/>
      <c r="M64" s="1"/>
      <c r="N64" s="1"/>
      <c r="O64" s="1"/>
      <c r="P64" s="1"/>
      <c r="Q64" s="1"/>
      <c r="R64" s="1"/>
      <c r="S64" s="1"/>
    </row>
    <row r="65" spans="1:19">
      <c r="A65" s="1"/>
      <c r="B65" s="1"/>
      <c r="C65" s="1"/>
      <c r="D65" s="1"/>
      <c r="E65" s="1"/>
      <c r="F65" s="1"/>
      <c r="G65" s="1"/>
      <c r="H65" s="1"/>
      <c r="I65" s="1"/>
      <c r="J65" s="1"/>
      <c r="K65" s="1"/>
      <c r="L65" s="1"/>
      <c r="M65" s="1"/>
      <c r="N65" s="1"/>
      <c r="O65" s="1"/>
      <c r="P65" s="1"/>
      <c r="Q65" s="1"/>
      <c r="R65" s="1"/>
      <c r="S65" s="1"/>
    </row>
    <row r="66" spans="1:19">
      <c r="A66" s="1"/>
      <c r="B66" s="1"/>
      <c r="C66" s="1"/>
      <c r="D66" s="1"/>
      <c r="E66" s="1"/>
      <c r="F66" s="1"/>
      <c r="G66" s="1"/>
      <c r="H66" s="1"/>
      <c r="I66" s="1"/>
      <c r="J66" s="1"/>
      <c r="K66" s="1"/>
      <c r="L66" s="1"/>
      <c r="M66" s="1"/>
      <c r="N66" s="1"/>
      <c r="O66" s="1"/>
      <c r="P66" s="1"/>
      <c r="Q66" s="1"/>
      <c r="R66" s="1"/>
      <c r="S66" s="1"/>
    </row>
    <row r="67" spans="1:19">
      <c r="A67" s="1"/>
      <c r="B67" s="1"/>
      <c r="C67" s="1"/>
      <c r="D67" s="1"/>
      <c r="E67" s="1"/>
      <c r="F67" s="1"/>
      <c r="G67" s="1"/>
      <c r="H67" s="1"/>
      <c r="I67" s="1"/>
      <c r="J67" s="1"/>
      <c r="K67" s="1"/>
      <c r="L67" s="1"/>
      <c r="M67" s="1"/>
      <c r="N67" s="1"/>
      <c r="O67" s="1"/>
      <c r="P67" s="1"/>
      <c r="Q67" s="1"/>
      <c r="R67" s="1"/>
      <c r="S67" s="1"/>
    </row>
    <row r="68" spans="1:19">
      <c r="A68" s="1"/>
      <c r="B68" s="1"/>
      <c r="C68" s="1"/>
      <c r="D68" s="1"/>
      <c r="E68" s="1"/>
      <c r="F68" s="1"/>
      <c r="G68" s="1"/>
      <c r="H68" s="1"/>
      <c r="I68" s="1"/>
      <c r="J68" s="1"/>
      <c r="K68" s="1"/>
      <c r="L68" s="1"/>
      <c r="M68" s="1"/>
      <c r="N68" s="1"/>
      <c r="O68" s="1"/>
      <c r="P68" s="1"/>
      <c r="Q68" s="1"/>
      <c r="R68" s="1"/>
      <c r="S68" s="1"/>
    </row>
    <row r="69" spans="1:19">
      <c r="A69" s="1"/>
      <c r="B69" s="1"/>
      <c r="C69" s="1"/>
      <c r="D69" s="1"/>
      <c r="E69" s="1"/>
      <c r="F69" s="1"/>
      <c r="G69" s="1"/>
      <c r="H69" s="1"/>
      <c r="I69" s="1"/>
      <c r="J69" s="1"/>
      <c r="K69" s="1"/>
      <c r="L69" s="1"/>
      <c r="M69" s="1"/>
      <c r="N69" s="1"/>
      <c r="O69" s="1"/>
      <c r="P69" s="1"/>
      <c r="Q69" s="1"/>
      <c r="R69" s="1"/>
      <c r="S69" s="1"/>
    </row>
    <row r="70" spans="1:19">
      <c r="A70" s="1"/>
      <c r="B70" s="1"/>
      <c r="C70" s="1"/>
      <c r="D70" s="1"/>
      <c r="E70" s="1"/>
      <c r="F70" s="1"/>
      <c r="G70" s="1"/>
      <c r="H70" s="1"/>
      <c r="I70" s="1"/>
      <c r="J70" s="1"/>
      <c r="K70" s="1"/>
      <c r="L70" s="1"/>
      <c r="M70" s="1"/>
      <c r="N70" s="1"/>
      <c r="O70" s="1"/>
      <c r="P70" s="1"/>
      <c r="Q70" s="1"/>
      <c r="R70" s="1"/>
      <c r="S70" s="1"/>
    </row>
    <row r="71" spans="1:19">
      <c r="A71" s="1"/>
      <c r="B71" s="1"/>
      <c r="C71" s="1"/>
      <c r="D71" s="1"/>
      <c r="E71" s="1"/>
      <c r="F71" s="1"/>
      <c r="G71" s="1"/>
      <c r="H71" s="1"/>
      <c r="I71" s="1"/>
      <c r="J71" s="1"/>
      <c r="K71" s="1"/>
      <c r="L71" s="1"/>
      <c r="M71" s="1"/>
      <c r="N71" s="1"/>
      <c r="O71" s="1"/>
      <c r="P71" s="1"/>
      <c r="Q71" s="1"/>
      <c r="R71" s="1"/>
      <c r="S71" s="1"/>
    </row>
    <row r="72" spans="1:19">
      <c r="A72" s="1"/>
      <c r="B72" s="1"/>
      <c r="C72" s="1"/>
      <c r="D72" s="1"/>
      <c r="E72" s="1"/>
      <c r="F72" s="1"/>
      <c r="G72" s="1"/>
      <c r="H72" s="1"/>
      <c r="I72" s="1"/>
      <c r="J72" s="1"/>
      <c r="K72" s="1"/>
      <c r="L72" s="1"/>
      <c r="M72" s="1"/>
      <c r="N72" s="1"/>
      <c r="O72" s="1"/>
      <c r="P72" s="1"/>
      <c r="Q72" s="1"/>
      <c r="R72" s="1"/>
      <c r="S72" s="1"/>
    </row>
    <row r="73" spans="1:19">
      <c r="A73" s="1"/>
      <c r="B73" s="1"/>
      <c r="C73" s="1"/>
      <c r="D73" s="1"/>
      <c r="E73" s="1"/>
      <c r="F73" s="1"/>
      <c r="G73" s="1"/>
      <c r="H73" s="1"/>
      <c r="I73" s="1"/>
      <c r="J73" s="1"/>
      <c r="K73" s="1"/>
      <c r="L73" s="1"/>
      <c r="M73" s="1"/>
      <c r="N73" s="1"/>
      <c r="O73" s="1"/>
      <c r="P73" s="1"/>
      <c r="Q73" s="1"/>
      <c r="R73" s="1"/>
      <c r="S73" s="1"/>
    </row>
    <row r="74" spans="1:19">
      <c r="A74" s="1"/>
      <c r="B74" s="1"/>
      <c r="C74" s="1"/>
      <c r="D74" s="1"/>
      <c r="E74" s="1"/>
      <c r="F74" s="1"/>
      <c r="G74" s="1"/>
      <c r="H74" s="1"/>
      <c r="I74" s="1"/>
      <c r="J74" s="1"/>
      <c r="K74" s="1"/>
      <c r="L74" s="1"/>
      <c r="M74" s="1"/>
      <c r="N74" s="1"/>
      <c r="O74" s="1"/>
      <c r="P74" s="1"/>
      <c r="Q74" s="1"/>
      <c r="R74" s="1"/>
      <c r="S74" s="1"/>
    </row>
    <row r="75" spans="1:19">
      <c r="A75" s="1"/>
      <c r="B75" s="1"/>
      <c r="C75" s="1"/>
      <c r="D75" s="1"/>
      <c r="E75" s="1"/>
      <c r="F75" s="1"/>
      <c r="G75" s="1"/>
      <c r="H75" s="1"/>
      <c r="I75" s="1"/>
      <c r="J75" s="1"/>
      <c r="K75" s="1"/>
      <c r="L75" s="1"/>
      <c r="M75" s="1"/>
      <c r="N75" s="1"/>
      <c r="O75" s="1"/>
      <c r="P75" s="1"/>
      <c r="Q75" s="1"/>
      <c r="R75" s="1"/>
      <c r="S75" s="1"/>
    </row>
    <row r="76" spans="1:19">
      <c r="A76" s="1"/>
      <c r="B76" s="1"/>
      <c r="C76" s="1"/>
      <c r="D76" s="1"/>
      <c r="E76" s="1"/>
      <c r="F76" s="1"/>
      <c r="G76" s="1"/>
      <c r="H76" s="1"/>
      <c r="I76" s="1"/>
      <c r="J76" s="1"/>
      <c r="K76" s="1"/>
      <c r="L76" s="1"/>
      <c r="M76" s="1"/>
      <c r="N76" s="1"/>
      <c r="O76" s="1"/>
      <c r="P76" s="1"/>
      <c r="Q76" s="1"/>
      <c r="R76" s="1"/>
      <c r="S76" s="1"/>
    </row>
    <row r="77" spans="1:19">
      <c r="A77" s="1"/>
      <c r="B77" s="1"/>
      <c r="C77" s="1"/>
      <c r="D77" s="1"/>
      <c r="E77" s="1"/>
      <c r="F77" s="1"/>
      <c r="G77" s="1"/>
      <c r="H77" s="1"/>
      <c r="I77" s="1"/>
      <c r="J77" s="1"/>
      <c r="K77" s="1"/>
      <c r="L77" s="1"/>
      <c r="M77" s="1"/>
      <c r="N77" s="1"/>
      <c r="O77" s="1"/>
      <c r="P77" s="1"/>
      <c r="Q77" s="1"/>
      <c r="R77" s="1"/>
      <c r="S77" s="1"/>
    </row>
    <row r="78" spans="1:19">
      <c r="A78" s="1"/>
      <c r="B78" s="1"/>
      <c r="C78" s="1"/>
      <c r="D78" s="1"/>
      <c r="E78" s="1"/>
      <c r="F78" s="1"/>
      <c r="G78" s="1"/>
      <c r="H78" s="1"/>
      <c r="I78" s="1"/>
      <c r="J78" s="1"/>
      <c r="K78" s="1"/>
      <c r="L78" s="1"/>
      <c r="M78" s="1"/>
      <c r="N78" s="1"/>
      <c r="O78" s="1"/>
      <c r="P78" s="1"/>
      <c r="Q78" s="1"/>
      <c r="R78" s="1"/>
      <c r="S78" s="1"/>
    </row>
    <row r="79" spans="1:19">
      <c r="A79" s="1"/>
      <c r="B79" s="1"/>
      <c r="C79" s="1"/>
      <c r="D79" s="1"/>
      <c r="E79" s="1"/>
      <c r="F79" s="1"/>
      <c r="G79" s="1"/>
      <c r="H79" s="1"/>
      <c r="I79" s="1"/>
      <c r="J79" s="1"/>
      <c r="K79" s="1"/>
      <c r="L79" s="1"/>
      <c r="M79" s="1"/>
      <c r="N79" s="1"/>
      <c r="O79" s="1"/>
      <c r="P79" s="1"/>
      <c r="Q79" s="1"/>
      <c r="R79" s="1"/>
      <c r="S79" s="1"/>
    </row>
    <row r="80" spans="1:19">
      <c r="A80" s="1"/>
      <c r="B80" s="1"/>
      <c r="C80" s="1"/>
      <c r="D80" s="1"/>
      <c r="E80" s="1"/>
      <c r="F80" s="1"/>
      <c r="G80" s="1"/>
      <c r="H80" s="1"/>
      <c r="I80" s="1"/>
      <c r="J80" s="1"/>
      <c r="K80" s="1"/>
      <c r="L80" s="1"/>
      <c r="M80" s="1"/>
      <c r="N80" s="1"/>
      <c r="O80" s="1"/>
      <c r="P80" s="1"/>
      <c r="Q80" s="1"/>
      <c r="R80" s="1"/>
      <c r="S80" s="1"/>
    </row>
    <row r="81" spans="1:19">
      <c r="A81" s="1"/>
      <c r="B81" s="1"/>
      <c r="C81" s="1"/>
      <c r="D81" s="1"/>
      <c r="E81" s="1"/>
      <c r="F81" s="1"/>
      <c r="G81" s="1"/>
      <c r="H81" s="1"/>
      <c r="I81" s="1"/>
      <c r="J81" s="1"/>
      <c r="K81" s="1"/>
      <c r="L81" s="1"/>
      <c r="M81" s="1"/>
      <c r="N81" s="1"/>
      <c r="O81" s="1"/>
      <c r="P81" s="1"/>
      <c r="Q81" s="1"/>
      <c r="R81" s="1"/>
      <c r="S81" s="1"/>
    </row>
    <row r="82" spans="1:19">
      <c r="A82" s="1"/>
      <c r="B82" s="1"/>
      <c r="C82" s="1"/>
      <c r="D82" s="1"/>
      <c r="E82" s="1"/>
      <c r="F82" s="1"/>
      <c r="G82" s="1"/>
      <c r="H82" s="1"/>
      <c r="I82" s="1"/>
      <c r="J82" s="1"/>
      <c r="K82" s="1"/>
      <c r="L82" s="1"/>
      <c r="M82" s="1"/>
      <c r="N82" s="1"/>
      <c r="O82" s="1"/>
      <c r="P82" s="1"/>
      <c r="Q82" s="1"/>
      <c r="R82" s="1"/>
      <c r="S82" s="1"/>
    </row>
    <row r="83" spans="1:19">
      <c r="A83" s="1"/>
      <c r="B83" s="1"/>
      <c r="C83" s="1"/>
      <c r="D83" s="1"/>
      <c r="E83" s="1"/>
      <c r="F83" s="1"/>
      <c r="G83" s="1"/>
      <c r="H83" s="1"/>
      <c r="I83" s="1"/>
      <c r="J83" s="1"/>
      <c r="K83" s="1"/>
      <c r="L83" s="1"/>
      <c r="M83" s="1"/>
      <c r="N83" s="1"/>
      <c r="O83" s="1"/>
      <c r="P83" s="1"/>
      <c r="Q83" s="1"/>
      <c r="R83" s="1"/>
      <c r="S83" s="1"/>
    </row>
    <row r="84" spans="1:19">
      <c r="A84" s="1"/>
      <c r="B84" s="1"/>
      <c r="C84" s="1"/>
      <c r="D84" s="1"/>
      <c r="E84" s="1"/>
      <c r="F84" s="1"/>
      <c r="G84" s="1"/>
      <c r="H84" s="1"/>
      <c r="I84" s="1"/>
      <c r="J84" s="1"/>
      <c r="K84" s="1"/>
      <c r="L84" s="1"/>
      <c r="M84" s="1"/>
      <c r="N84" s="1"/>
      <c r="O84" s="1"/>
      <c r="P84" s="1"/>
      <c r="Q84" s="1"/>
      <c r="R84" s="1"/>
      <c r="S84" s="1"/>
    </row>
    <row r="85" spans="1:19">
      <c r="A85" s="1"/>
      <c r="B85" s="1"/>
      <c r="C85" s="1"/>
      <c r="D85" s="1"/>
      <c r="E85" s="1"/>
      <c r="F85" s="1"/>
      <c r="G85" s="1"/>
      <c r="H85" s="1"/>
      <c r="I85" s="1"/>
      <c r="J85" s="1"/>
      <c r="K85" s="1"/>
      <c r="L85" s="1"/>
      <c r="M85" s="1"/>
      <c r="N85" s="1"/>
      <c r="O85" s="1"/>
      <c r="P85" s="1"/>
      <c r="Q85" s="1"/>
      <c r="R85" s="1"/>
      <c r="S85" s="1"/>
    </row>
    <row r="86" spans="1:19">
      <c r="A86" s="1"/>
      <c r="B86" s="1"/>
      <c r="C86" s="1"/>
      <c r="D86" s="1"/>
      <c r="E86" s="1"/>
      <c r="F86" s="1"/>
      <c r="G86" s="1"/>
      <c r="H86" s="1"/>
      <c r="I86" s="1"/>
      <c r="J86" s="1"/>
      <c r="K86" s="1"/>
      <c r="L86" s="1"/>
      <c r="M86" s="1"/>
      <c r="N86" s="1"/>
      <c r="O86" s="1"/>
      <c r="P86" s="1"/>
      <c r="Q86" s="1"/>
      <c r="R86" s="1"/>
      <c r="S86" s="1"/>
    </row>
    <row r="87" spans="1:19">
      <c r="A87" s="1"/>
      <c r="B87" s="1"/>
      <c r="C87" s="1"/>
      <c r="D87" s="1"/>
      <c r="E87" s="1"/>
      <c r="F87" s="1"/>
      <c r="G87" s="1"/>
      <c r="H87" s="1"/>
      <c r="I87" s="1"/>
      <c r="J87" s="1"/>
      <c r="K87" s="1"/>
      <c r="L87" s="1"/>
      <c r="M87" s="1"/>
      <c r="N87" s="1"/>
      <c r="O87" s="1"/>
      <c r="P87" s="1"/>
      <c r="Q87" s="1"/>
      <c r="R87" s="1"/>
      <c r="S87" s="1"/>
    </row>
    <row r="88" spans="1:19">
      <c r="A88" s="1"/>
      <c r="B88" s="1"/>
      <c r="C88" s="1"/>
      <c r="D88" s="1"/>
      <c r="E88" s="1"/>
      <c r="F88" s="1"/>
      <c r="G88" s="1"/>
      <c r="H88" s="1"/>
      <c r="I88" s="1"/>
      <c r="J88" s="1"/>
      <c r="K88" s="1"/>
      <c r="L88" s="1"/>
      <c r="M88" s="1"/>
      <c r="N88" s="1"/>
      <c r="O88" s="1"/>
      <c r="P88" s="1"/>
      <c r="Q88" s="1"/>
      <c r="R88" s="1"/>
      <c r="S88" s="1"/>
    </row>
    <row r="89" spans="1:19">
      <c r="A89" s="1"/>
      <c r="B89" s="1"/>
      <c r="C89" s="1"/>
      <c r="D89" s="1"/>
      <c r="E89" s="1"/>
      <c r="F89" s="1"/>
      <c r="G89" s="1"/>
      <c r="H89" s="1"/>
      <c r="I89" s="1"/>
      <c r="J89" s="1"/>
      <c r="K89" s="1"/>
      <c r="L89" s="1"/>
      <c r="M89" s="1"/>
      <c r="N89" s="1"/>
      <c r="O89" s="1"/>
      <c r="P89" s="1"/>
      <c r="Q89" s="1"/>
      <c r="R89" s="1"/>
      <c r="S89" s="1"/>
    </row>
    <row r="90" spans="1:19">
      <c r="A90" s="1"/>
      <c r="B90" s="1"/>
      <c r="C90" s="1"/>
      <c r="D90" s="1"/>
      <c r="E90" s="1"/>
      <c r="F90" s="1"/>
      <c r="G90" s="1"/>
      <c r="H90" s="1"/>
      <c r="I90" s="1"/>
      <c r="J90" s="1"/>
      <c r="K90" s="1"/>
      <c r="L90" s="1"/>
      <c r="M90" s="1"/>
      <c r="N90" s="1"/>
      <c r="O90" s="1"/>
      <c r="P90" s="1"/>
      <c r="Q90" s="1"/>
      <c r="R90" s="1"/>
      <c r="S90" s="1"/>
    </row>
    <row r="91" spans="1:19">
      <c r="A91" s="1"/>
      <c r="B91" s="1"/>
      <c r="C91" s="1"/>
      <c r="D91" s="1"/>
      <c r="E91" s="1"/>
      <c r="F91" s="1"/>
      <c r="G91" s="1"/>
      <c r="H91" s="1"/>
      <c r="I91" s="1"/>
      <c r="J91" s="1"/>
      <c r="K91" s="1"/>
      <c r="L91" s="1"/>
      <c r="M91" s="1"/>
      <c r="N91" s="1"/>
      <c r="O91" s="1"/>
      <c r="P91" s="1"/>
      <c r="Q91" s="1"/>
      <c r="R91" s="1"/>
      <c r="S91" s="1"/>
    </row>
    <row r="92" spans="1:19">
      <c r="A92" s="1"/>
      <c r="B92" s="1"/>
      <c r="C92" s="1"/>
      <c r="D92" s="1"/>
      <c r="E92" s="1"/>
      <c r="F92" s="1"/>
      <c r="G92" s="1"/>
      <c r="H92" s="1"/>
      <c r="I92" s="1"/>
      <c r="J92" s="1"/>
      <c r="K92" s="1"/>
      <c r="L92" s="1"/>
      <c r="M92" s="1"/>
      <c r="N92" s="1"/>
      <c r="O92" s="1"/>
      <c r="P92" s="1"/>
      <c r="Q92" s="1"/>
      <c r="R92" s="1"/>
      <c r="S92" s="1"/>
    </row>
    <row r="93" spans="1:19">
      <c r="A93" s="1"/>
      <c r="B93" s="1"/>
      <c r="C93" s="1"/>
      <c r="D93" s="1"/>
      <c r="E93" s="1"/>
      <c r="F93" s="1"/>
      <c r="G93" s="1"/>
      <c r="H93" s="1"/>
      <c r="I93" s="1"/>
      <c r="J93" s="1"/>
      <c r="K93" s="1"/>
      <c r="L93" s="1"/>
      <c r="M93" s="1"/>
      <c r="N93" s="1"/>
      <c r="O93" s="1"/>
      <c r="P93" s="1"/>
      <c r="Q93" s="1"/>
      <c r="R93" s="1"/>
      <c r="S93" s="1"/>
    </row>
    <row r="94" spans="1:19">
      <c r="A94" s="1"/>
      <c r="B94" s="1"/>
      <c r="C94" s="1"/>
      <c r="D94" s="1"/>
      <c r="E94" s="1"/>
      <c r="F94" s="1"/>
      <c r="G94" s="1"/>
      <c r="H94" s="1"/>
      <c r="I94" s="1"/>
      <c r="J94" s="1"/>
      <c r="K94" s="1"/>
      <c r="L94" s="1"/>
      <c r="M94" s="1"/>
      <c r="N94" s="1"/>
      <c r="O94" s="1"/>
      <c r="P94" s="1"/>
      <c r="Q94" s="1"/>
      <c r="R94" s="1"/>
      <c r="S94" s="1"/>
    </row>
    <row r="95" spans="1:19">
      <c r="A95" s="1"/>
      <c r="B95" s="1"/>
      <c r="C95" s="1"/>
      <c r="D95" s="1"/>
      <c r="E95" s="1"/>
      <c r="F95" s="1"/>
      <c r="G95" s="1"/>
      <c r="H95" s="1"/>
      <c r="I95" s="1"/>
      <c r="J95" s="1"/>
      <c r="K95" s="1"/>
      <c r="L95" s="1"/>
      <c r="M95" s="1"/>
      <c r="N95" s="1"/>
      <c r="O95" s="1"/>
      <c r="P95" s="1"/>
      <c r="Q95" s="1"/>
      <c r="R95" s="1"/>
      <c r="S95" s="1"/>
    </row>
    <row r="96" spans="1:19">
      <c r="A96" s="1"/>
      <c r="B96" s="1"/>
      <c r="C96" s="1"/>
      <c r="D96" s="1"/>
      <c r="E96" s="1"/>
      <c r="F96" s="1"/>
      <c r="G96" s="1"/>
      <c r="H96" s="1"/>
      <c r="I96" s="1"/>
      <c r="J96" s="1"/>
      <c r="K96" s="1"/>
      <c r="L96" s="1"/>
      <c r="M96" s="1"/>
      <c r="N96" s="1"/>
      <c r="O96" s="1"/>
      <c r="P96" s="1"/>
      <c r="Q96" s="1"/>
      <c r="R96" s="1"/>
      <c r="S96" s="1"/>
    </row>
    <row r="97" spans="1:19">
      <c r="A97" s="1"/>
      <c r="B97" s="1"/>
      <c r="C97" s="1"/>
      <c r="D97" s="1"/>
      <c r="E97" s="1"/>
      <c r="F97" s="1"/>
      <c r="G97" s="1"/>
      <c r="H97" s="1"/>
      <c r="I97" s="1"/>
      <c r="J97" s="1"/>
      <c r="K97" s="1"/>
      <c r="L97" s="1"/>
      <c r="M97" s="1"/>
      <c r="N97" s="1"/>
      <c r="O97" s="1"/>
      <c r="P97" s="1"/>
      <c r="Q97" s="1"/>
      <c r="R97" s="1"/>
      <c r="S97" s="1"/>
    </row>
    <row r="98" spans="1:19">
      <c r="A98" s="1"/>
      <c r="B98" s="1"/>
      <c r="C98" s="1"/>
      <c r="D98" s="1"/>
      <c r="E98" s="1"/>
      <c r="F98" s="1"/>
      <c r="G98" s="1"/>
      <c r="H98" s="1"/>
      <c r="I98" s="1"/>
      <c r="J98" s="1"/>
      <c r="K98" s="1"/>
      <c r="L98" s="1"/>
      <c r="M98" s="1"/>
      <c r="N98" s="1"/>
      <c r="O98" s="1"/>
      <c r="P98" s="1"/>
      <c r="Q98" s="1"/>
      <c r="R98" s="1"/>
      <c r="S98" s="1"/>
    </row>
    <row r="99" spans="1:19">
      <c r="A99" s="1"/>
      <c r="B99" s="1"/>
      <c r="C99" s="1"/>
      <c r="D99" s="1"/>
      <c r="E99" s="1"/>
      <c r="F99" s="1"/>
      <c r="G99" s="1"/>
      <c r="H99" s="1"/>
      <c r="I99" s="1"/>
      <c r="J99" s="1"/>
      <c r="K99" s="1"/>
      <c r="L99" s="1"/>
      <c r="M99" s="1"/>
      <c r="N99" s="1"/>
      <c r="O99" s="1"/>
      <c r="P99" s="1"/>
      <c r="Q99" s="1"/>
      <c r="R99" s="1"/>
      <c r="S99" s="1"/>
    </row>
    <row r="100" spans="1:19">
      <c r="A100" s="1"/>
      <c r="B100" s="1"/>
      <c r="C100" s="1"/>
      <c r="D100" s="1"/>
      <c r="E100" s="1"/>
      <c r="F100" s="1"/>
      <c r="G100" s="1"/>
      <c r="H100" s="1"/>
      <c r="I100" s="1"/>
      <c r="J100" s="1"/>
      <c r="K100" s="1"/>
      <c r="L100" s="1"/>
      <c r="M100" s="1"/>
      <c r="N100" s="1"/>
      <c r="O100" s="1"/>
      <c r="P100" s="1"/>
      <c r="Q100" s="1"/>
      <c r="R100" s="1"/>
      <c r="S100" s="1"/>
    </row>
    <row r="101" spans="1:19">
      <c r="A101" s="1"/>
      <c r="B101" s="1"/>
      <c r="C101" s="1"/>
      <c r="D101" s="1"/>
      <c r="E101" s="1"/>
      <c r="F101" s="1"/>
      <c r="G101" s="1"/>
      <c r="H101" s="1"/>
      <c r="I101" s="1"/>
      <c r="J101" s="1"/>
      <c r="K101" s="1"/>
      <c r="L101" s="1"/>
      <c r="M101" s="1"/>
      <c r="N101" s="1"/>
      <c r="O101" s="1"/>
      <c r="P101" s="1"/>
      <c r="Q101" s="1"/>
      <c r="R101" s="1"/>
      <c r="S101" s="1"/>
    </row>
    <row r="102" spans="1:19">
      <c r="A102" s="1"/>
      <c r="B102" s="1"/>
      <c r="C102" s="1"/>
      <c r="D102" s="1"/>
      <c r="E102" s="1"/>
      <c r="F102" s="1"/>
      <c r="G102" s="1"/>
      <c r="H102" s="1"/>
      <c r="I102" s="1"/>
      <c r="J102" s="1"/>
      <c r="K102" s="1"/>
      <c r="L102" s="1"/>
      <c r="M102" s="1"/>
      <c r="N102" s="1"/>
      <c r="O102" s="1"/>
      <c r="P102" s="1"/>
      <c r="Q102" s="1"/>
      <c r="R102" s="1"/>
      <c r="S102" s="1"/>
    </row>
    <row r="103" spans="1:19">
      <c r="A103" s="1"/>
      <c r="B103" s="1"/>
      <c r="C103" s="1"/>
      <c r="D103" s="1"/>
      <c r="E103" s="1"/>
      <c r="F103" s="1"/>
      <c r="G103" s="1"/>
      <c r="H103" s="1"/>
      <c r="I103" s="1"/>
      <c r="J103" s="1"/>
      <c r="K103" s="1"/>
      <c r="L103" s="1"/>
      <c r="M103" s="1"/>
      <c r="N103" s="1"/>
      <c r="O103" s="1"/>
      <c r="P103" s="1"/>
      <c r="Q103" s="1"/>
      <c r="R103" s="1"/>
      <c r="S103" s="1"/>
    </row>
    <row r="104" spans="1:19">
      <c r="A104" s="1"/>
      <c r="B104" s="1"/>
      <c r="C104" s="1"/>
      <c r="D104" s="1"/>
      <c r="E104" s="1"/>
      <c r="F104" s="1"/>
      <c r="G104" s="1"/>
      <c r="H104" s="1"/>
      <c r="I104" s="1"/>
      <c r="J104" s="1"/>
      <c r="K104" s="1"/>
      <c r="L104" s="1"/>
      <c r="M104" s="1"/>
      <c r="N104" s="1"/>
      <c r="O104" s="1"/>
      <c r="P104" s="1"/>
      <c r="Q104" s="1"/>
      <c r="R104" s="1"/>
      <c r="S104" s="1"/>
    </row>
    <row r="105" spans="1:19">
      <c r="A105" s="1"/>
      <c r="B105" s="1"/>
      <c r="C105" s="1"/>
      <c r="D105" s="1"/>
      <c r="E105" s="1"/>
      <c r="F105" s="1"/>
      <c r="G105" s="1"/>
      <c r="H105" s="1"/>
      <c r="I105" s="1"/>
      <c r="J105" s="1"/>
      <c r="K105" s="1"/>
      <c r="L105" s="1"/>
      <c r="M105" s="1"/>
      <c r="N105" s="1"/>
      <c r="O105" s="1"/>
      <c r="P105" s="1"/>
      <c r="Q105" s="1"/>
      <c r="R105" s="1"/>
      <c r="S105" s="1"/>
    </row>
    <row r="106" spans="1:19">
      <c r="A106" s="1"/>
      <c r="B106" s="1"/>
      <c r="C106" s="1"/>
      <c r="D106" s="1"/>
      <c r="E106" s="1"/>
      <c r="F106" s="1"/>
      <c r="G106" s="1"/>
      <c r="H106" s="1"/>
      <c r="I106" s="1"/>
      <c r="J106" s="1"/>
      <c r="K106" s="1"/>
      <c r="L106" s="1"/>
      <c r="M106" s="1"/>
      <c r="N106" s="1"/>
      <c r="O106" s="1"/>
      <c r="P106" s="1"/>
      <c r="Q106" s="1"/>
      <c r="R106" s="1"/>
      <c r="S106" s="1"/>
    </row>
    <row r="107" spans="1:19">
      <c r="A107" s="1"/>
      <c r="B107" s="1"/>
      <c r="C107" s="1"/>
      <c r="D107" s="1"/>
      <c r="E107" s="1"/>
      <c r="F107" s="1"/>
      <c r="G107" s="1"/>
      <c r="H107" s="1"/>
      <c r="I107" s="1"/>
      <c r="J107" s="1"/>
      <c r="K107" s="1"/>
      <c r="L107" s="1"/>
      <c r="M107" s="1"/>
      <c r="N107" s="1"/>
      <c r="O107" s="1"/>
      <c r="P107" s="1"/>
      <c r="Q107" s="1"/>
      <c r="R107" s="1"/>
      <c r="S107" s="1"/>
    </row>
    <row r="108" spans="1:19">
      <c r="A108" s="1"/>
      <c r="B108" s="1"/>
      <c r="C108" s="1"/>
      <c r="D108" s="1"/>
      <c r="E108" s="1"/>
      <c r="F108" s="1"/>
      <c r="G108" s="1"/>
      <c r="H108" s="1"/>
      <c r="I108" s="1"/>
      <c r="J108" s="1"/>
      <c r="K108" s="1"/>
      <c r="L108" s="1"/>
      <c r="M108" s="1"/>
      <c r="N108" s="1"/>
      <c r="O108" s="1"/>
      <c r="P108" s="1"/>
      <c r="Q108" s="1"/>
      <c r="R108" s="1"/>
      <c r="S108" s="1"/>
    </row>
    <row r="109" spans="1:19">
      <c r="A109" s="1"/>
      <c r="B109" s="1"/>
      <c r="C109" s="1"/>
      <c r="D109" s="1"/>
      <c r="E109" s="1"/>
      <c r="F109" s="1"/>
      <c r="G109" s="1"/>
      <c r="H109" s="1"/>
      <c r="I109" s="1"/>
      <c r="J109" s="1"/>
      <c r="K109" s="1"/>
      <c r="L109" s="1"/>
      <c r="M109" s="1"/>
      <c r="N109" s="1"/>
      <c r="O109" s="1"/>
      <c r="P109" s="1"/>
      <c r="Q109" s="1"/>
      <c r="R109" s="1"/>
      <c r="S109" s="1"/>
    </row>
    <row r="110" spans="1:19">
      <c r="A110" s="1"/>
      <c r="B110" s="1"/>
      <c r="C110" s="1"/>
      <c r="D110" s="1"/>
      <c r="E110" s="1"/>
      <c r="F110" s="1"/>
      <c r="G110" s="1"/>
      <c r="H110" s="1"/>
      <c r="I110" s="1"/>
      <c r="J110" s="1"/>
      <c r="K110" s="1"/>
      <c r="L110" s="1"/>
      <c r="M110" s="1"/>
      <c r="N110" s="1"/>
      <c r="O110" s="1"/>
      <c r="P110" s="1"/>
      <c r="Q110" s="1"/>
      <c r="R110" s="1"/>
      <c r="S110" s="1"/>
    </row>
    <row r="111" spans="1:19">
      <c r="A111" s="1"/>
      <c r="B111" s="1"/>
      <c r="C111" s="1"/>
      <c r="D111" s="1"/>
      <c r="E111" s="1"/>
      <c r="F111" s="1"/>
      <c r="G111" s="1"/>
      <c r="H111" s="1"/>
      <c r="I111" s="1"/>
      <c r="J111" s="1"/>
      <c r="K111" s="1"/>
      <c r="L111" s="1"/>
      <c r="M111" s="1"/>
      <c r="N111" s="1"/>
      <c r="O111" s="1"/>
      <c r="P111" s="1"/>
      <c r="Q111" s="1"/>
      <c r="R111" s="1"/>
      <c r="S111" s="1"/>
    </row>
    <row r="112" spans="1:19">
      <c r="A112" s="1"/>
      <c r="B112" s="1"/>
      <c r="C112" s="1"/>
      <c r="D112" s="1"/>
      <c r="E112" s="1"/>
      <c r="F112" s="1"/>
      <c r="G112" s="1"/>
      <c r="H112" s="1"/>
      <c r="I112" s="1"/>
      <c r="J112" s="1"/>
      <c r="K112" s="1"/>
      <c r="L112" s="1"/>
      <c r="M112" s="1"/>
      <c r="N112" s="1"/>
      <c r="O112" s="1"/>
      <c r="P112" s="1"/>
      <c r="Q112" s="1"/>
      <c r="R112" s="1"/>
      <c r="S112" s="1"/>
    </row>
    <row r="113" spans="1:19">
      <c r="A113" s="1"/>
      <c r="B113" s="1"/>
      <c r="C113" s="1"/>
      <c r="D113" s="1"/>
      <c r="E113" s="1"/>
      <c r="F113" s="1"/>
      <c r="G113" s="1"/>
      <c r="H113" s="1"/>
      <c r="I113" s="1"/>
      <c r="J113" s="1"/>
      <c r="K113" s="1"/>
      <c r="L113" s="1"/>
      <c r="M113" s="1"/>
      <c r="N113" s="1"/>
      <c r="O113" s="1"/>
      <c r="P113" s="1"/>
      <c r="Q113" s="1"/>
      <c r="R113" s="1"/>
      <c r="S113" s="1"/>
    </row>
    <row r="114" spans="1:19">
      <c r="A114" s="1"/>
      <c r="B114" s="1"/>
      <c r="C114" s="1"/>
      <c r="D114" s="1"/>
      <c r="E114" s="1"/>
      <c r="F114" s="1"/>
      <c r="G114" s="1"/>
      <c r="H114" s="1"/>
      <c r="I114" s="1"/>
      <c r="J114" s="1"/>
      <c r="K114" s="1"/>
      <c r="L114" s="1"/>
      <c r="M114" s="1"/>
      <c r="N114" s="1"/>
      <c r="O114" s="1"/>
      <c r="P114" s="1"/>
      <c r="Q114" s="1"/>
      <c r="R114" s="1"/>
      <c r="S114" s="1"/>
    </row>
    <row r="115" spans="1:19">
      <c r="A115" s="1"/>
      <c r="B115" s="1"/>
      <c r="C115" s="1"/>
      <c r="D115" s="1"/>
      <c r="E115" s="1"/>
      <c r="F115" s="1"/>
      <c r="G115" s="1"/>
      <c r="H115" s="1"/>
      <c r="I115" s="1"/>
      <c r="J115" s="1"/>
      <c r="K115" s="1"/>
      <c r="L115" s="1"/>
      <c r="M115" s="1"/>
      <c r="N115" s="1"/>
      <c r="O115" s="1"/>
      <c r="P115" s="1"/>
      <c r="Q115" s="1"/>
      <c r="R115" s="1"/>
      <c r="S115" s="1"/>
    </row>
    <row r="116" spans="1:19">
      <c r="A116" s="1"/>
      <c r="B116" s="1"/>
      <c r="C116" s="1"/>
      <c r="D116" s="1"/>
      <c r="E116" s="1"/>
      <c r="F116" s="1"/>
      <c r="G116" s="1"/>
      <c r="H116" s="1"/>
      <c r="I116" s="1"/>
      <c r="J116" s="1"/>
      <c r="K116" s="1"/>
      <c r="L116" s="1"/>
      <c r="M116" s="1"/>
      <c r="N116" s="1"/>
      <c r="O116" s="1"/>
      <c r="P116" s="1"/>
      <c r="Q116" s="1"/>
      <c r="R116" s="1"/>
      <c r="S116" s="1"/>
    </row>
    <row r="117" spans="1:19">
      <c r="A117" s="1"/>
      <c r="B117" s="1"/>
      <c r="C117" s="1"/>
      <c r="D117" s="1"/>
      <c r="E117" s="1"/>
      <c r="F117" s="1"/>
      <c r="G117" s="1"/>
      <c r="H117" s="1"/>
      <c r="I117" s="1"/>
      <c r="J117" s="1"/>
      <c r="K117" s="1"/>
      <c r="L117" s="1"/>
      <c r="M117" s="1"/>
      <c r="N117" s="1"/>
      <c r="O117" s="1"/>
      <c r="P117" s="1"/>
      <c r="Q117" s="1"/>
      <c r="R117" s="1"/>
      <c r="S117" s="1"/>
    </row>
    <row r="118" spans="1:19">
      <c r="A118" s="1"/>
      <c r="B118" s="1"/>
      <c r="C118" s="1"/>
      <c r="D118" s="1"/>
      <c r="E118" s="1"/>
      <c r="F118" s="1"/>
      <c r="G118" s="1"/>
      <c r="H118" s="1"/>
      <c r="I118" s="1"/>
      <c r="J118" s="1"/>
      <c r="K118" s="1"/>
      <c r="L118" s="1"/>
      <c r="M118" s="1"/>
      <c r="N118" s="1"/>
      <c r="O118" s="1"/>
      <c r="P118" s="1"/>
      <c r="Q118" s="1"/>
      <c r="R118" s="1"/>
      <c r="S118" s="1"/>
    </row>
    <row r="119" spans="1:19">
      <c r="A119" s="1"/>
      <c r="B119" s="1"/>
      <c r="C119" s="1"/>
      <c r="D119" s="1"/>
      <c r="E119" s="1"/>
      <c r="F119" s="1"/>
      <c r="G119" s="1"/>
      <c r="H119" s="1"/>
      <c r="I119" s="1"/>
      <c r="J119" s="1"/>
      <c r="K119" s="1"/>
      <c r="L119" s="1"/>
      <c r="M119" s="1"/>
      <c r="N119" s="1"/>
      <c r="O119" s="1"/>
      <c r="P119" s="1"/>
      <c r="Q119" s="1"/>
      <c r="R119" s="1"/>
      <c r="S119" s="1"/>
    </row>
    <row r="120" spans="1:19">
      <c r="A120" s="1"/>
      <c r="B120" s="1"/>
      <c r="C120" s="1"/>
      <c r="D120" s="1"/>
      <c r="E120" s="1"/>
      <c r="F120" s="1"/>
      <c r="G120" s="1"/>
      <c r="H120" s="1"/>
      <c r="I120" s="1"/>
      <c r="J120" s="1"/>
      <c r="K120" s="1"/>
      <c r="L120" s="1"/>
      <c r="M120" s="1"/>
      <c r="N120" s="1"/>
      <c r="O120" s="1"/>
      <c r="P120" s="1"/>
      <c r="Q120" s="1"/>
      <c r="R120" s="1"/>
      <c r="S120" s="1"/>
    </row>
    <row r="121" spans="1:19">
      <c r="A121" s="1"/>
      <c r="B121" s="1"/>
      <c r="C121" s="1"/>
      <c r="D121" s="1"/>
      <c r="E121" s="1"/>
      <c r="F121" s="1"/>
      <c r="G121" s="1"/>
      <c r="H121" s="1"/>
      <c r="I121" s="1"/>
      <c r="J121" s="1"/>
      <c r="K121" s="1"/>
      <c r="L121" s="1"/>
      <c r="M121" s="1"/>
      <c r="N121" s="1"/>
      <c r="O121" s="1"/>
      <c r="P121" s="1"/>
      <c r="Q121" s="1"/>
      <c r="R121" s="1"/>
      <c r="S121" s="1"/>
    </row>
    <row r="122" spans="1:19">
      <c r="A122" s="1"/>
      <c r="B122" s="1"/>
      <c r="C122" s="1"/>
      <c r="D122" s="1"/>
      <c r="E122" s="1"/>
      <c r="F122" s="1"/>
      <c r="G122" s="1"/>
      <c r="H122" s="1"/>
      <c r="I122" s="1"/>
      <c r="J122" s="1"/>
      <c r="K122" s="1"/>
      <c r="L122" s="1"/>
      <c r="M122" s="1"/>
      <c r="N122" s="1"/>
      <c r="O122" s="1"/>
      <c r="P122" s="1"/>
      <c r="Q122" s="1"/>
      <c r="R122" s="1"/>
      <c r="S122" s="1"/>
    </row>
    <row r="123" spans="1:19">
      <c r="A123" s="1"/>
      <c r="B123" s="1"/>
      <c r="C123" s="1"/>
      <c r="D123" s="1"/>
      <c r="E123" s="1"/>
      <c r="F123" s="1"/>
      <c r="G123" s="1"/>
      <c r="H123" s="1"/>
      <c r="I123" s="1"/>
      <c r="J123" s="1"/>
      <c r="K123" s="1"/>
      <c r="L123" s="1"/>
      <c r="M123" s="1"/>
      <c r="N123" s="1"/>
      <c r="O123" s="1"/>
      <c r="P123" s="1"/>
      <c r="Q123" s="1"/>
      <c r="R123" s="1"/>
      <c r="S123" s="1"/>
    </row>
    <row r="124" spans="1:19">
      <c r="A124" s="1"/>
      <c r="B124" s="1"/>
      <c r="C124" s="1"/>
      <c r="D124" s="1"/>
      <c r="E124" s="1"/>
      <c r="F124" s="1"/>
      <c r="G124" s="1"/>
      <c r="H124" s="1"/>
      <c r="I124" s="1"/>
      <c r="J124" s="1"/>
      <c r="K124" s="1"/>
      <c r="L124" s="1"/>
      <c r="M124" s="1"/>
      <c r="N124" s="1"/>
      <c r="O124" s="1"/>
      <c r="P124" s="1"/>
      <c r="Q124" s="1"/>
      <c r="R124" s="1"/>
      <c r="S124" s="1"/>
    </row>
    <row r="125" spans="1:19">
      <c r="A125" s="1"/>
      <c r="B125" s="1"/>
      <c r="C125" s="1"/>
      <c r="D125" s="1"/>
      <c r="E125" s="1"/>
      <c r="F125" s="1"/>
      <c r="G125" s="1"/>
      <c r="H125" s="1"/>
      <c r="I125" s="1"/>
      <c r="J125" s="1"/>
      <c r="K125" s="1"/>
      <c r="L125" s="1"/>
      <c r="M125" s="1"/>
      <c r="N125" s="1"/>
      <c r="O125" s="1"/>
      <c r="P125" s="1"/>
      <c r="Q125" s="1"/>
      <c r="R125" s="1"/>
      <c r="S125" s="1"/>
    </row>
    <row r="126" spans="1:19">
      <c r="A126" s="1"/>
      <c r="B126" s="1"/>
      <c r="C126" s="1"/>
      <c r="D126" s="1"/>
      <c r="E126" s="1"/>
      <c r="F126" s="1"/>
      <c r="G126" s="1"/>
      <c r="H126" s="1"/>
      <c r="I126" s="1"/>
      <c r="J126" s="1"/>
      <c r="K126" s="1"/>
      <c r="L126" s="1"/>
      <c r="M126" s="1"/>
      <c r="N126" s="1"/>
      <c r="O126" s="1"/>
      <c r="P126" s="1"/>
      <c r="Q126" s="1"/>
      <c r="R126" s="1"/>
      <c r="S126" s="1"/>
    </row>
    <row r="127" spans="1:19">
      <c r="A127" s="1"/>
      <c r="B127" s="1"/>
      <c r="C127" s="1"/>
      <c r="D127" s="1"/>
      <c r="E127" s="1"/>
      <c r="F127" s="1"/>
      <c r="G127" s="1"/>
      <c r="H127" s="1"/>
      <c r="I127" s="1"/>
      <c r="J127" s="1"/>
      <c r="K127" s="1"/>
      <c r="L127" s="1"/>
      <c r="M127" s="1"/>
      <c r="N127" s="1"/>
      <c r="O127" s="1"/>
      <c r="P127" s="1"/>
      <c r="Q127" s="1"/>
      <c r="R127" s="1"/>
      <c r="S127" s="1"/>
    </row>
    <row r="128" spans="1:19">
      <c r="A128" s="1"/>
      <c r="B128" s="1"/>
      <c r="C128" s="1"/>
      <c r="D128" s="1"/>
      <c r="E128" s="1"/>
      <c r="F128" s="1"/>
      <c r="G128" s="1"/>
      <c r="H128" s="1"/>
      <c r="I128" s="1"/>
      <c r="J128" s="1"/>
      <c r="K128" s="1"/>
      <c r="L128" s="1"/>
      <c r="M128" s="1"/>
      <c r="N128" s="1"/>
      <c r="O128" s="1"/>
      <c r="P128" s="1"/>
      <c r="Q128" s="1"/>
      <c r="R128" s="1"/>
      <c r="S128" s="1"/>
    </row>
    <row r="129" spans="1:19">
      <c r="A129" s="1"/>
      <c r="B129" s="1"/>
      <c r="C129" s="1"/>
      <c r="D129" s="1"/>
      <c r="E129" s="1"/>
      <c r="F129" s="1"/>
      <c r="G129" s="1"/>
      <c r="H129" s="1"/>
      <c r="I129" s="1"/>
      <c r="J129" s="1"/>
      <c r="K129" s="1"/>
      <c r="L129" s="1"/>
      <c r="M129" s="1"/>
      <c r="N129" s="1"/>
      <c r="O129" s="1"/>
      <c r="P129" s="1"/>
      <c r="Q129" s="1"/>
      <c r="R129" s="1"/>
      <c r="S129" s="1"/>
    </row>
    <row r="130" spans="1:19">
      <c r="A130" s="1"/>
      <c r="B130" s="1"/>
      <c r="C130" s="1"/>
      <c r="D130" s="1"/>
      <c r="E130" s="1"/>
      <c r="F130" s="1"/>
      <c r="G130" s="1"/>
      <c r="H130" s="1"/>
      <c r="I130" s="1"/>
      <c r="J130" s="1"/>
      <c r="K130" s="1"/>
      <c r="L130" s="1"/>
      <c r="M130" s="1"/>
      <c r="N130" s="1"/>
      <c r="O130" s="1"/>
      <c r="P130" s="1"/>
      <c r="Q130" s="1"/>
      <c r="R130" s="1"/>
      <c r="S130" s="1"/>
    </row>
    <row r="131" spans="1:19">
      <c r="A131" s="1"/>
      <c r="B131" s="1"/>
      <c r="C131" s="1"/>
      <c r="D131" s="1"/>
      <c r="E131" s="1"/>
      <c r="F131" s="1"/>
      <c r="G131" s="1"/>
      <c r="H131" s="1"/>
      <c r="I131" s="1"/>
      <c r="J131" s="1"/>
      <c r="K131" s="1"/>
      <c r="L131" s="1"/>
      <c r="M131" s="1"/>
      <c r="N131" s="1"/>
      <c r="O131" s="1"/>
      <c r="P131" s="1"/>
      <c r="Q131" s="1"/>
      <c r="R131" s="1"/>
      <c r="S131" s="1"/>
    </row>
    <row r="132" spans="1:19">
      <c r="A132" s="1"/>
      <c r="B132" s="1"/>
      <c r="C132" s="1"/>
      <c r="D132" s="1"/>
      <c r="E132" s="1"/>
      <c r="F132" s="1"/>
      <c r="G132" s="1"/>
      <c r="H132" s="1"/>
      <c r="I132" s="1"/>
      <c r="J132" s="1"/>
      <c r="K132" s="1"/>
      <c r="L132" s="1"/>
      <c r="M132" s="1"/>
      <c r="N132" s="1"/>
      <c r="O132" s="1"/>
      <c r="P132" s="1"/>
      <c r="Q132" s="1"/>
      <c r="R132" s="1"/>
      <c r="S132" s="1"/>
    </row>
    <row r="133" spans="1:19">
      <c r="A133" s="1"/>
      <c r="B133" s="1"/>
      <c r="C133" s="1"/>
      <c r="D133" s="1"/>
      <c r="E133" s="1"/>
      <c r="F133" s="1"/>
      <c r="G133" s="1"/>
      <c r="H133" s="1"/>
      <c r="I133" s="1"/>
      <c r="J133" s="1"/>
      <c r="K133" s="1"/>
      <c r="L133" s="1"/>
      <c r="M133" s="1"/>
      <c r="N133" s="1"/>
      <c r="O133" s="1"/>
      <c r="P133" s="1"/>
      <c r="Q133" s="1"/>
      <c r="R133" s="1"/>
      <c r="S133" s="1"/>
    </row>
    <row r="134" spans="1:19">
      <c r="A134" s="1"/>
      <c r="B134" s="1"/>
      <c r="C134" s="1"/>
      <c r="D134" s="1"/>
      <c r="E134" s="1"/>
      <c r="F134" s="1"/>
      <c r="G134" s="1"/>
      <c r="H134" s="1"/>
      <c r="I134" s="1"/>
      <c r="J134" s="1"/>
      <c r="K134" s="1"/>
      <c r="L134" s="1"/>
      <c r="M134" s="1"/>
      <c r="N134" s="1"/>
      <c r="O134" s="1"/>
      <c r="P134" s="1"/>
      <c r="Q134" s="1"/>
      <c r="R134" s="1"/>
      <c r="S134" s="1"/>
    </row>
    <row r="135" spans="1:19">
      <c r="A135" s="1"/>
      <c r="B135" s="1"/>
      <c r="C135" s="1"/>
      <c r="D135" s="1"/>
      <c r="E135" s="1"/>
      <c r="F135" s="1"/>
      <c r="G135" s="1"/>
      <c r="H135" s="1"/>
      <c r="I135" s="1"/>
      <c r="J135" s="1"/>
      <c r="K135" s="1"/>
      <c r="L135" s="1"/>
      <c r="M135" s="1"/>
      <c r="N135" s="1"/>
      <c r="O135" s="1"/>
      <c r="P135" s="1"/>
      <c r="Q135" s="1"/>
      <c r="R135" s="1"/>
      <c r="S135" s="1"/>
    </row>
    <row r="136" spans="1:19">
      <c r="A136" s="1"/>
      <c r="B136" s="1"/>
      <c r="C136" s="1"/>
      <c r="D136" s="1"/>
      <c r="E136" s="1"/>
      <c r="F136" s="1"/>
      <c r="G136" s="1"/>
      <c r="H136" s="1"/>
      <c r="I136" s="1"/>
      <c r="J136" s="1"/>
      <c r="K136" s="1"/>
      <c r="L136" s="1"/>
      <c r="M136" s="1"/>
      <c r="N136" s="1"/>
      <c r="O136" s="1"/>
      <c r="P136" s="1"/>
      <c r="Q136" s="1"/>
      <c r="R136" s="1"/>
      <c r="S136" s="1"/>
    </row>
    <row r="137" spans="1:19">
      <c r="A137" s="1"/>
      <c r="B137" s="1"/>
      <c r="C137" s="1"/>
      <c r="D137" s="1"/>
      <c r="E137" s="1"/>
      <c r="F137" s="1"/>
      <c r="G137" s="1"/>
      <c r="H137" s="1"/>
      <c r="I137" s="1"/>
      <c r="J137" s="1"/>
      <c r="K137" s="1"/>
      <c r="L137" s="1"/>
      <c r="M137" s="1"/>
      <c r="N137" s="1"/>
      <c r="O137" s="1"/>
      <c r="P137" s="1"/>
      <c r="Q137" s="1"/>
      <c r="R137" s="1"/>
      <c r="S137" s="1"/>
    </row>
    <row r="138" spans="1:19">
      <c r="A138" s="1"/>
      <c r="B138" s="1"/>
      <c r="C138" s="1"/>
      <c r="D138" s="1"/>
      <c r="E138" s="1"/>
      <c r="F138" s="1"/>
      <c r="G138" s="1"/>
      <c r="H138" s="1"/>
      <c r="I138" s="1"/>
      <c r="J138" s="1"/>
      <c r="K138" s="1"/>
      <c r="L138" s="1"/>
      <c r="M138" s="1"/>
      <c r="N138" s="1"/>
      <c r="O138" s="1"/>
      <c r="P138" s="1"/>
      <c r="Q138" s="1"/>
      <c r="R138" s="1"/>
      <c r="S138" s="1"/>
    </row>
    <row r="139" spans="1:19">
      <c r="A139" s="1"/>
      <c r="B139" s="1"/>
      <c r="C139" s="1"/>
      <c r="D139" s="1"/>
      <c r="E139" s="1"/>
      <c r="F139" s="1"/>
      <c r="G139" s="1"/>
      <c r="H139" s="1"/>
      <c r="I139" s="1"/>
      <c r="J139" s="1"/>
      <c r="K139" s="1"/>
      <c r="L139" s="1"/>
      <c r="M139" s="1"/>
      <c r="N139" s="1"/>
      <c r="O139" s="1"/>
      <c r="P139" s="1"/>
      <c r="Q139" s="1"/>
      <c r="R139" s="1"/>
      <c r="S139" s="1"/>
    </row>
    <row r="140" spans="1:19">
      <c r="A140" s="1"/>
      <c r="B140" s="1"/>
      <c r="C140" s="1"/>
      <c r="D140" s="1"/>
      <c r="E140" s="1"/>
      <c r="F140" s="1"/>
      <c r="G140" s="1"/>
      <c r="H140" s="1"/>
      <c r="I140" s="1"/>
      <c r="J140" s="1"/>
      <c r="K140" s="1"/>
      <c r="L140" s="1"/>
      <c r="M140" s="1"/>
      <c r="N140" s="1"/>
      <c r="O140" s="1"/>
      <c r="P140" s="1"/>
      <c r="Q140" s="1"/>
      <c r="R140" s="1"/>
      <c r="S140" s="1"/>
    </row>
    <row r="141" spans="1:19">
      <c r="A141" s="1"/>
      <c r="B141" s="1"/>
      <c r="C141" s="1"/>
      <c r="D141" s="1"/>
      <c r="E141" s="1"/>
      <c r="F141" s="1"/>
      <c r="G141" s="1"/>
      <c r="H141" s="1"/>
      <c r="I141" s="1"/>
      <c r="J141" s="1"/>
      <c r="K141" s="1"/>
      <c r="L141" s="1"/>
      <c r="M141" s="1"/>
      <c r="N141" s="1"/>
      <c r="O141" s="1"/>
      <c r="P141" s="1"/>
      <c r="Q141" s="1"/>
      <c r="R141" s="1"/>
      <c r="S141" s="1"/>
    </row>
    <row r="142" spans="1:19">
      <c r="A142" s="1"/>
      <c r="B142" s="1"/>
      <c r="C142" s="1"/>
      <c r="D142" s="1"/>
      <c r="E142" s="1"/>
      <c r="F142" s="1"/>
      <c r="G142" s="1"/>
      <c r="H142" s="1"/>
      <c r="I142" s="1"/>
      <c r="J142" s="1"/>
      <c r="K142" s="1"/>
      <c r="L142" s="1"/>
      <c r="M142" s="1"/>
      <c r="N142" s="1"/>
      <c r="O142" s="1"/>
      <c r="P142" s="1"/>
      <c r="Q142" s="1"/>
      <c r="R142" s="1"/>
      <c r="S142" s="1"/>
    </row>
    <row r="143" spans="1:19">
      <c r="A143" s="1"/>
      <c r="B143" s="1"/>
      <c r="C143" s="1"/>
      <c r="D143" s="1"/>
      <c r="E143" s="1"/>
      <c r="F143" s="1"/>
      <c r="G143" s="1"/>
      <c r="H143" s="1"/>
      <c r="I143" s="1"/>
      <c r="J143" s="1"/>
      <c r="K143" s="1"/>
      <c r="L143" s="1"/>
      <c r="M143" s="1"/>
      <c r="N143" s="1"/>
      <c r="O143" s="1"/>
      <c r="P143" s="1"/>
      <c r="Q143" s="1"/>
      <c r="R143" s="1"/>
      <c r="S143" s="1"/>
    </row>
    <row r="144" spans="1:19">
      <c r="A144" s="1"/>
      <c r="B144" s="1"/>
      <c r="C144" s="1"/>
      <c r="D144" s="1"/>
      <c r="E144" s="1"/>
      <c r="F144" s="1"/>
      <c r="G144" s="1"/>
      <c r="H144" s="1"/>
      <c r="I144" s="1"/>
      <c r="J144" s="1"/>
      <c r="K144" s="1"/>
      <c r="L144" s="1"/>
      <c r="M144" s="1"/>
      <c r="N144" s="1"/>
      <c r="O144" s="1"/>
      <c r="P144" s="1"/>
      <c r="Q144" s="1"/>
      <c r="R144" s="1"/>
      <c r="S144" s="1"/>
    </row>
    <row r="145" spans="1:19">
      <c r="A145" s="1"/>
      <c r="B145" s="1"/>
      <c r="C145" s="1"/>
      <c r="D145" s="1"/>
      <c r="E145" s="1"/>
      <c r="F145" s="1"/>
      <c r="G145" s="1"/>
      <c r="H145" s="1"/>
      <c r="I145" s="1"/>
      <c r="J145" s="1"/>
      <c r="K145" s="1"/>
      <c r="L145" s="1"/>
      <c r="M145" s="1"/>
      <c r="N145" s="1"/>
      <c r="O145" s="1"/>
      <c r="P145" s="1"/>
      <c r="Q145" s="1"/>
      <c r="R145" s="1"/>
      <c r="S145" s="1"/>
    </row>
    <row r="146" spans="1:19">
      <c r="A146" s="1"/>
      <c r="B146" s="1"/>
      <c r="C146" s="1"/>
      <c r="D146" s="1"/>
      <c r="E146" s="1"/>
      <c r="F146" s="1"/>
      <c r="G146" s="1"/>
      <c r="H146" s="1"/>
      <c r="I146" s="1"/>
      <c r="J146" s="1"/>
      <c r="K146" s="1"/>
      <c r="L146" s="1"/>
      <c r="M146" s="1"/>
      <c r="N146" s="1"/>
      <c r="O146" s="1"/>
      <c r="P146" s="1"/>
      <c r="Q146" s="1"/>
      <c r="R146" s="1"/>
      <c r="S146" s="1"/>
    </row>
    <row r="147" spans="1:19">
      <c r="A147" s="1"/>
      <c r="B147" s="1"/>
      <c r="C147" s="1"/>
      <c r="D147" s="1"/>
      <c r="E147" s="1"/>
      <c r="F147" s="1"/>
      <c r="G147" s="1"/>
      <c r="H147" s="1"/>
      <c r="I147" s="1"/>
      <c r="J147" s="1"/>
      <c r="K147" s="1"/>
      <c r="L147" s="1"/>
      <c r="M147" s="1"/>
      <c r="N147" s="1"/>
      <c r="O147" s="1"/>
      <c r="P147" s="1"/>
      <c r="Q147" s="1"/>
      <c r="R147" s="1"/>
      <c r="S147" s="1"/>
    </row>
    <row r="148" spans="1:19">
      <c r="A148" s="1"/>
      <c r="B148" s="1"/>
      <c r="C148" s="1"/>
      <c r="D148" s="1"/>
      <c r="E148" s="1"/>
      <c r="F148" s="1"/>
      <c r="G148" s="1"/>
      <c r="H148" s="1"/>
      <c r="I148" s="1"/>
      <c r="J148" s="1"/>
      <c r="K148" s="1"/>
      <c r="L148" s="1"/>
      <c r="M148" s="1"/>
      <c r="N148" s="1"/>
      <c r="O148" s="1"/>
      <c r="P148" s="1"/>
      <c r="Q148" s="1"/>
      <c r="R148" s="1"/>
      <c r="S148" s="1"/>
    </row>
    <row r="149" spans="1:19">
      <c r="A149" s="1"/>
      <c r="B149" s="1"/>
      <c r="C149" s="1"/>
      <c r="D149" s="1"/>
      <c r="E149" s="1"/>
      <c r="F149" s="1"/>
      <c r="G149" s="1"/>
      <c r="H149" s="1"/>
      <c r="I149" s="1"/>
      <c r="J149" s="1"/>
      <c r="K149" s="1"/>
      <c r="L149" s="1"/>
      <c r="M149" s="1"/>
      <c r="N149" s="1"/>
      <c r="O149" s="1"/>
      <c r="P149" s="1"/>
      <c r="Q149" s="1"/>
      <c r="R149" s="1"/>
      <c r="S149" s="1"/>
    </row>
    <row r="150" spans="1:19">
      <c r="A150" s="1"/>
      <c r="B150" s="1"/>
      <c r="C150" s="1"/>
      <c r="D150" s="1"/>
      <c r="E150" s="1"/>
      <c r="F150" s="1"/>
      <c r="G150" s="1"/>
      <c r="H150" s="1"/>
      <c r="I150" s="1"/>
      <c r="J150" s="1"/>
      <c r="K150" s="1"/>
      <c r="L150" s="1"/>
      <c r="M150" s="1"/>
      <c r="N150" s="1"/>
      <c r="O150" s="1"/>
      <c r="P150" s="1"/>
      <c r="Q150" s="1"/>
      <c r="R150" s="1"/>
      <c r="S150" s="1"/>
    </row>
    <row r="151" spans="1:19">
      <c r="A151" s="1"/>
      <c r="B151" s="1"/>
      <c r="C151" s="1"/>
      <c r="D151" s="1"/>
      <c r="E151" s="1"/>
      <c r="F151" s="1"/>
      <c r="G151" s="1"/>
      <c r="H151" s="1"/>
      <c r="I151" s="1"/>
      <c r="J151" s="1"/>
      <c r="K151" s="1"/>
      <c r="L151" s="1"/>
      <c r="M151" s="1"/>
      <c r="N151" s="1"/>
      <c r="O151" s="1"/>
      <c r="P151" s="1"/>
      <c r="Q151" s="1"/>
      <c r="R151" s="1"/>
      <c r="S151" s="1"/>
    </row>
    <row r="152" spans="1:19">
      <c r="A152" s="1"/>
      <c r="B152" s="1"/>
      <c r="C152" s="1"/>
      <c r="D152" s="1"/>
      <c r="E152" s="1"/>
      <c r="F152" s="1"/>
      <c r="G152" s="1"/>
      <c r="H152" s="1"/>
      <c r="I152" s="1"/>
      <c r="J152" s="1"/>
      <c r="K152" s="1"/>
      <c r="L152" s="1"/>
      <c r="M152" s="1"/>
      <c r="N152" s="1"/>
      <c r="O152" s="1"/>
      <c r="P152" s="1"/>
      <c r="Q152" s="1"/>
      <c r="R152" s="1"/>
      <c r="S152" s="1"/>
    </row>
    <row r="153" spans="1:19">
      <c r="A153" s="1"/>
      <c r="B153" s="1"/>
      <c r="C153" s="1"/>
      <c r="D153" s="1"/>
      <c r="E153" s="1"/>
      <c r="F153" s="1"/>
      <c r="G153" s="1"/>
      <c r="H153" s="1"/>
      <c r="I153" s="1"/>
      <c r="J153" s="1"/>
      <c r="K153" s="1"/>
      <c r="L153" s="1"/>
      <c r="M153" s="1"/>
      <c r="N153" s="1"/>
      <c r="O153" s="1"/>
      <c r="P153" s="1"/>
      <c r="Q153" s="1"/>
      <c r="R153" s="1"/>
      <c r="S153" s="1"/>
    </row>
    <row r="154" spans="1:19">
      <c r="A154" s="1"/>
      <c r="B154" s="1"/>
      <c r="C154" s="1"/>
      <c r="D154" s="1"/>
      <c r="E154" s="1"/>
      <c r="F154" s="1"/>
      <c r="G154" s="1"/>
      <c r="H154" s="1"/>
      <c r="I154" s="1"/>
      <c r="J154" s="1"/>
      <c r="K154" s="1"/>
      <c r="L154" s="1"/>
      <c r="M154" s="1"/>
      <c r="N154" s="1"/>
      <c r="O154" s="1"/>
      <c r="P154" s="1"/>
      <c r="Q154" s="1"/>
      <c r="R154" s="1"/>
      <c r="S154" s="1"/>
    </row>
    <row r="155" spans="1:19">
      <c r="A155" s="1"/>
      <c r="B155" s="1"/>
      <c r="C155" s="1"/>
      <c r="D155" s="1"/>
      <c r="E155" s="1"/>
      <c r="F155" s="1"/>
      <c r="G155" s="1"/>
      <c r="H155" s="1"/>
      <c r="I155" s="1"/>
      <c r="J155" s="1"/>
      <c r="K155" s="1"/>
      <c r="L155" s="1"/>
      <c r="M155" s="1"/>
      <c r="N155" s="1"/>
      <c r="O155" s="1"/>
      <c r="P155" s="1"/>
      <c r="Q155" s="1"/>
      <c r="R155" s="1"/>
      <c r="S155" s="1"/>
    </row>
    <row r="156" spans="1:19">
      <c r="A156" s="1"/>
      <c r="B156" s="1"/>
      <c r="C156" s="1"/>
      <c r="D156" s="1"/>
      <c r="E156" s="1"/>
      <c r="F156" s="1"/>
      <c r="G156" s="1"/>
      <c r="H156" s="1"/>
      <c r="I156" s="1"/>
      <c r="J156" s="1"/>
      <c r="K156" s="1"/>
      <c r="L156" s="1"/>
      <c r="M156" s="1"/>
      <c r="N156" s="1"/>
      <c r="O156" s="1"/>
      <c r="P156" s="1"/>
      <c r="Q156" s="1"/>
      <c r="R156" s="1"/>
      <c r="S156" s="1"/>
    </row>
    <row r="157" spans="1:19">
      <c r="A157" s="1"/>
      <c r="B157" s="1"/>
      <c r="C157" s="1"/>
      <c r="D157" s="1"/>
      <c r="E157" s="1"/>
      <c r="F157" s="1"/>
      <c r="G157" s="1"/>
      <c r="H157" s="1"/>
      <c r="I157" s="1"/>
      <c r="J157" s="1"/>
      <c r="K157" s="1"/>
      <c r="L157" s="1"/>
      <c r="M157" s="1"/>
      <c r="N157" s="1"/>
      <c r="O157" s="1"/>
      <c r="P157" s="1"/>
      <c r="Q157" s="1"/>
      <c r="R157" s="1"/>
      <c r="S157" s="1"/>
    </row>
    <row r="158" spans="1:19">
      <c r="A158" s="1"/>
      <c r="B158" s="1"/>
      <c r="C158" s="1"/>
      <c r="D158" s="1"/>
      <c r="E158" s="1"/>
      <c r="F158" s="1"/>
      <c r="G158" s="1"/>
      <c r="H158" s="1"/>
      <c r="I158" s="1"/>
      <c r="J158" s="1"/>
      <c r="K158" s="1"/>
      <c r="L158" s="1"/>
      <c r="M158" s="1"/>
      <c r="N158" s="1"/>
      <c r="O158" s="1"/>
      <c r="P158" s="1"/>
      <c r="Q158" s="1"/>
      <c r="R158" s="1"/>
      <c r="S158" s="1"/>
    </row>
    <row r="159" spans="1:19">
      <c r="A159" s="1"/>
      <c r="B159" s="1"/>
      <c r="C159" s="1"/>
      <c r="D159" s="1"/>
      <c r="E159" s="1"/>
      <c r="F159" s="1"/>
      <c r="G159" s="1"/>
      <c r="H159" s="1"/>
      <c r="I159" s="1"/>
      <c r="J159" s="1"/>
      <c r="K159" s="1"/>
      <c r="L159" s="1"/>
      <c r="M159" s="1"/>
      <c r="N159" s="1"/>
      <c r="O159" s="1"/>
      <c r="P159" s="1"/>
      <c r="Q159" s="1"/>
      <c r="R159" s="1"/>
      <c r="S159" s="1"/>
    </row>
    <row r="160" spans="1:19">
      <c r="A160" s="1"/>
      <c r="B160" s="1"/>
      <c r="C160" s="1"/>
      <c r="D160" s="1"/>
      <c r="E160" s="1"/>
      <c r="F160" s="1"/>
      <c r="G160" s="1"/>
      <c r="H160" s="1"/>
      <c r="I160" s="1"/>
      <c r="J160" s="1"/>
      <c r="K160" s="1"/>
      <c r="L160" s="1"/>
      <c r="M160" s="1"/>
      <c r="N160" s="1"/>
      <c r="O160" s="1"/>
      <c r="P160" s="1"/>
      <c r="Q160" s="1"/>
      <c r="R160" s="1"/>
      <c r="S160" s="1"/>
    </row>
    <row r="161" spans="1:19">
      <c r="A161" s="1"/>
      <c r="B161" s="1"/>
      <c r="C161" s="1"/>
      <c r="D161" s="1"/>
      <c r="E161" s="1"/>
      <c r="F161" s="1"/>
      <c r="G161" s="1"/>
      <c r="H161" s="1"/>
      <c r="I161" s="1"/>
      <c r="J161" s="1"/>
      <c r="K161" s="1"/>
      <c r="L161" s="1"/>
      <c r="M161" s="1"/>
      <c r="N161" s="1"/>
      <c r="O161" s="1"/>
      <c r="P161" s="1"/>
      <c r="Q161" s="1"/>
      <c r="R161" s="1"/>
      <c r="S161" s="1"/>
    </row>
    <row r="162" spans="1:19">
      <c r="A162" s="1"/>
      <c r="B162" s="1"/>
      <c r="C162" s="1"/>
      <c r="D162" s="1"/>
      <c r="E162" s="1"/>
      <c r="F162" s="1"/>
      <c r="G162" s="1"/>
      <c r="H162" s="1"/>
      <c r="I162" s="1"/>
      <c r="J162" s="1"/>
      <c r="K162" s="1"/>
      <c r="L162" s="1"/>
      <c r="M162" s="1"/>
      <c r="N162" s="1"/>
      <c r="O162" s="1"/>
      <c r="P162" s="1"/>
      <c r="Q162" s="1"/>
      <c r="R162" s="1"/>
      <c r="S162" s="1"/>
    </row>
    <row r="163" spans="1:19">
      <c r="A163" s="1"/>
      <c r="B163" s="1"/>
      <c r="C163" s="1"/>
      <c r="D163" s="1"/>
      <c r="E163" s="1"/>
      <c r="F163" s="1"/>
      <c r="G163" s="1"/>
      <c r="H163" s="1"/>
      <c r="I163" s="1"/>
      <c r="J163" s="1"/>
      <c r="K163" s="1"/>
      <c r="L163" s="1"/>
      <c r="M163" s="1"/>
      <c r="N163" s="1"/>
      <c r="O163" s="1"/>
      <c r="P163" s="1"/>
      <c r="Q163" s="1"/>
      <c r="R163" s="1"/>
      <c r="S163" s="1"/>
    </row>
    <row r="164" spans="1:19">
      <c r="A164" s="1"/>
      <c r="B164" s="1"/>
      <c r="C164" s="1"/>
      <c r="D164" s="1"/>
      <c r="E164" s="1"/>
      <c r="F164" s="1"/>
      <c r="G164" s="1"/>
      <c r="H164" s="1"/>
      <c r="I164" s="1"/>
      <c r="J164" s="1"/>
      <c r="K164" s="1"/>
      <c r="L164" s="1"/>
      <c r="M164" s="1"/>
      <c r="N164" s="1"/>
      <c r="O164" s="1"/>
      <c r="P164" s="1"/>
      <c r="Q164" s="1"/>
      <c r="R164" s="1"/>
      <c r="S164" s="1"/>
    </row>
    <row r="165" spans="1:19">
      <c r="A165" s="1"/>
      <c r="B165" s="1"/>
      <c r="C165" s="1"/>
      <c r="D165" s="1"/>
      <c r="E165" s="1"/>
      <c r="F165" s="1"/>
      <c r="G165" s="1"/>
      <c r="H165" s="1"/>
      <c r="I165" s="1"/>
      <c r="J165" s="1"/>
      <c r="K165" s="1"/>
      <c r="L165" s="1"/>
      <c r="M165" s="1"/>
      <c r="N165" s="1"/>
      <c r="O165" s="1"/>
      <c r="P165" s="1"/>
      <c r="Q165" s="1"/>
      <c r="R165" s="1"/>
      <c r="S165" s="1"/>
    </row>
    <row r="166" spans="1:19">
      <c r="A166" s="1"/>
      <c r="B166" s="1"/>
      <c r="C166" s="1"/>
      <c r="D166" s="1"/>
      <c r="E166" s="1"/>
      <c r="F166" s="1"/>
      <c r="G166" s="1"/>
      <c r="H166" s="1"/>
      <c r="I166" s="1"/>
      <c r="J166" s="1"/>
      <c r="K166" s="1"/>
      <c r="L166" s="1"/>
      <c r="M166" s="1"/>
      <c r="N166" s="1"/>
      <c r="O166" s="1"/>
      <c r="P166" s="1"/>
      <c r="Q166" s="1"/>
      <c r="R166" s="1"/>
      <c r="S166" s="1"/>
    </row>
    <row r="167" spans="1:19">
      <c r="A167" s="1"/>
      <c r="B167" s="1"/>
      <c r="C167" s="1"/>
      <c r="D167" s="1"/>
      <c r="E167" s="1"/>
      <c r="F167" s="1"/>
      <c r="G167" s="1"/>
      <c r="H167" s="1"/>
      <c r="I167" s="1"/>
      <c r="J167" s="1"/>
      <c r="K167" s="1"/>
      <c r="L167" s="1"/>
      <c r="M167" s="1"/>
      <c r="N167" s="1"/>
      <c r="O167" s="1"/>
      <c r="P167" s="1"/>
      <c r="Q167" s="1"/>
      <c r="R167" s="1"/>
      <c r="S167" s="1"/>
    </row>
    <row r="168" spans="1:19">
      <c r="A168" s="1"/>
      <c r="B168" s="1"/>
      <c r="C168" s="1"/>
      <c r="D168" s="1"/>
      <c r="E168" s="1"/>
      <c r="F168" s="1"/>
      <c r="G168" s="1"/>
      <c r="H168" s="1"/>
      <c r="I168" s="1"/>
      <c r="J168" s="1"/>
      <c r="K168" s="1"/>
      <c r="L168" s="1"/>
      <c r="M168" s="1"/>
      <c r="N168" s="1"/>
      <c r="O168" s="1"/>
      <c r="P168" s="1"/>
      <c r="Q168" s="1"/>
      <c r="R168" s="1"/>
      <c r="S168" s="1"/>
    </row>
    <row r="169" spans="1:19">
      <c r="A169" s="1"/>
      <c r="B169" s="1"/>
      <c r="C169" s="1"/>
      <c r="D169" s="1"/>
      <c r="E169" s="1"/>
      <c r="F169" s="1"/>
      <c r="G169" s="1"/>
      <c r="H169" s="1"/>
      <c r="I169" s="1"/>
      <c r="J169" s="1"/>
      <c r="K169" s="1"/>
      <c r="L169" s="1"/>
      <c r="M169" s="1"/>
      <c r="N169" s="1"/>
      <c r="O169" s="1"/>
      <c r="P169" s="1"/>
      <c r="Q169" s="1"/>
      <c r="R169" s="1"/>
      <c r="S169" s="1"/>
    </row>
    <row r="170" spans="1:19">
      <c r="A170" s="1"/>
      <c r="B170" s="1"/>
      <c r="C170" s="1"/>
      <c r="D170" s="1"/>
      <c r="E170" s="1"/>
      <c r="F170" s="1"/>
      <c r="G170" s="1"/>
      <c r="H170" s="1"/>
      <c r="I170" s="1"/>
      <c r="J170" s="1"/>
      <c r="K170" s="1"/>
      <c r="L170" s="1"/>
      <c r="M170" s="1"/>
      <c r="N170" s="1"/>
      <c r="O170" s="1"/>
      <c r="P170" s="1"/>
      <c r="Q170" s="1"/>
      <c r="R170" s="1"/>
      <c r="S170" s="1"/>
    </row>
    <row r="171" spans="1:19">
      <c r="A171" s="1"/>
      <c r="B171" s="1"/>
      <c r="C171" s="1"/>
      <c r="D171" s="1"/>
      <c r="E171" s="1"/>
      <c r="F171" s="1"/>
      <c r="G171" s="1"/>
      <c r="H171" s="1"/>
      <c r="I171" s="1"/>
      <c r="J171" s="1"/>
      <c r="K171" s="1"/>
      <c r="L171" s="1"/>
      <c r="M171" s="1"/>
      <c r="N171" s="1"/>
      <c r="O171" s="1"/>
      <c r="P171" s="1"/>
      <c r="Q171" s="1"/>
      <c r="R171" s="1"/>
      <c r="S171" s="1"/>
    </row>
    <row r="172" spans="1:19">
      <c r="A172" s="1"/>
      <c r="B172" s="1"/>
      <c r="C172" s="1"/>
      <c r="D172" s="1"/>
      <c r="E172" s="1"/>
      <c r="F172" s="1"/>
      <c r="G172" s="1"/>
      <c r="H172" s="1"/>
      <c r="I172" s="1"/>
      <c r="J172" s="1"/>
      <c r="K172" s="1"/>
      <c r="L172" s="1"/>
      <c r="M172" s="1"/>
      <c r="N172" s="1"/>
      <c r="O172" s="1"/>
      <c r="P172" s="1"/>
      <c r="Q172" s="1"/>
      <c r="R172" s="1"/>
      <c r="S172" s="1"/>
    </row>
    <row r="173" spans="1:19">
      <c r="A173" s="1"/>
      <c r="B173" s="1"/>
      <c r="C173" s="1"/>
      <c r="D173" s="1"/>
      <c r="E173" s="1"/>
      <c r="F173" s="1"/>
      <c r="G173" s="1"/>
      <c r="H173" s="1"/>
      <c r="I173" s="1"/>
      <c r="J173" s="1"/>
      <c r="K173" s="1"/>
      <c r="L173" s="1"/>
      <c r="M173" s="1"/>
      <c r="N173" s="1"/>
      <c r="O173" s="1"/>
      <c r="P173" s="1"/>
      <c r="Q173" s="1"/>
      <c r="R173" s="1"/>
      <c r="S173" s="1"/>
    </row>
    <row r="174" spans="1:19">
      <c r="A174" s="1"/>
      <c r="B174" s="1"/>
      <c r="C174" s="1"/>
      <c r="D174" s="1"/>
      <c r="E174" s="1"/>
      <c r="F174" s="1"/>
      <c r="G174" s="1"/>
      <c r="H174" s="1"/>
      <c r="I174" s="1"/>
      <c r="J174" s="1"/>
      <c r="K174" s="1"/>
      <c r="L174" s="1"/>
      <c r="M174" s="1"/>
      <c r="N174" s="1"/>
      <c r="O174" s="1"/>
      <c r="P174" s="1"/>
      <c r="Q174" s="1"/>
      <c r="R174" s="1"/>
      <c r="S174" s="1"/>
    </row>
    <row r="175" spans="1:19">
      <c r="A175" s="1"/>
      <c r="B175" s="1"/>
      <c r="C175" s="1"/>
      <c r="D175" s="1"/>
      <c r="E175" s="1"/>
      <c r="F175" s="1"/>
      <c r="G175" s="1"/>
      <c r="H175" s="1"/>
      <c r="I175" s="1"/>
      <c r="J175" s="1"/>
      <c r="K175" s="1"/>
      <c r="L175" s="1"/>
      <c r="M175" s="1"/>
      <c r="N175" s="1"/>
      <c r="O175" s="1"/>
      <c r="P175" s="1"/>
      <c r="Q175" s="1"/>
      <c r="R175" s="1"/>
      <c r="S175" s="1"/>
    </row>
    <row r="176" spans="1:19">
      <c r="A176" s="1"/>
      <c r="B176" s="1"/>
      <c r="C176" s="1"/>
      <c r="D176" s="1"/>
      <c r="E176" s="1"/>
      <c r="F176" s="1"/>
      <c r="G176" s="1"/>
      <c r="H176" s="1"/>
      <c r="I176" s="1"/>
      <c r="J176" s="1"/>
      <c r="K176" s="1"/>
      <c r="L176" s="1"/>
      <c r="M176" s="1"/>
      <c r="N176" s="1"/>
      <c r="O176" s="1"/>
      <c r="P176" s="1"/>
      <c r="Q176" s="1"/>
      <c r="R176" s="1"/>
      <c r="S176" s="1"/>
    </row>
    <row r="177" spans="1:19">
      <c r="A177" s="1"/>
      <c r="B177" s="1"/>
      <c r="C177" s="1"/>
      <c r="D177" s="1"/>
      <c r="E177" s="1"/>
      <c r="F177" s="1"/>
      <c r="G177" s="1"/>
      <c r="H177" s="1"/>
      <c r="I177" s="1"/>
      <c r="J177" s="1"/>
      <c r="K177" s="1"/>
      <c r="L177" s="1"/>
      <c r="M177" s="1"/>
      <c r="N177" s="1"/>
      <c r="O177" s="1"/>
      <c r="P177" s="1"/>
      <c r="Q177" s="1"/>
      <c r="R177" s="1"/>
      <c r="S177" s="1"/>
    </row>
    <row r="178" spans="1:19">
      <c r="A178" s="1"/>
      <c r="B178" s="1"/>
      <c r="C178" s="1"/>
      <c r="D178" s="1"/>
      <c r="E178" s="1"/>
      <c r="F178" s="1"/>
      <c r="G178" s="1"/>
      <c r="H178" s="1"/>
      <c r="I178" s="1"/>
      <c r="J178" s="1"/>
      <c r="K178" s="1"/>
      <c r="L178" s="1"/>
      <c r="M178" s="1"/>
      <c r="N178" s="1"/>
      <c r="O178" s="1"/>
      <c r="P178" s="1"/>
      <c r="Q178" s="1"/>
      <c r="R178" s="1"/>
      <c r="S178" s="1"/>
    </row>
    <row r="179" spans="1:19">
      <c r="A179" s="1"/>
      <c r="B179" s="1"/>
      <c r="C179" s="1"/>
      <c r="D179" s="1"/>
      <c r="E179" s="1"/>
      <c r="F179" s="1"/>
      <c r="G179" s="1"/>
      <c r="H179" s="1"/>
      <c r="I179" s="1"/>
      <c r="J179" s="1"/>
      <c r="K179" s="1"/>
      <c r="L179" s="1"/>
      <c r="M179" s="1"/>
      <c r="N179" s="1"/>
      <c r="O179" s="1"/>
      <c r="P179" s="1"/>
      <c r="Q179" s="1"/>
      <c r="R179" s="1"/>
      <c r="S179" s="1"/>
    </row>
    <row r="180" spans="1:19">
      <c r="A180" s="1"/>
      <c r="B180" s="1"/>
      <c r="C180" s="1"/>
      <c r="D180" s="1"/>
      <c r="E180" s="1"/>
      <c r="F180" s="1"/>
      <c r="G180" s="1"/>
      <c r="H180" s="1"/>
      <c r="I180" s="1"/>
      <c r="J180" s="1"/>
      <c r="K180" s="1"/>
      <c r="L180" s="1"/>
      <c r="M180" s="1"/>
      <c r="N180" s="1"/>
      <c r="O180" s="1"/>
      <c r="P180" s="1"/>
      <c r="Q180" s="1"/>
      <c r="R180" s="1"/>
      <c r="S180" s="1"/>
    </row>
    <row r="181" spans="1:19">
      <c r="A181" s="1"/>
      <c r="B181" s="1"/>
      <c r="C181" s="1"/>
      <c r="D181" s="1"/>
      <c r="E181" s="1"/>
      <c r="F181" s="1"/>
      <c r="G181" s="1"/>
      <c r="H181" s="1"/>
      <c r="I181" s="1"/>
      <c r="J181" s="1"/>
      <c r="K181" s="1"/>
      <c r="L181" s="1"/>
      <c r="M181" s="1"/>
      <c r="N181" s="1"/>
      <c r="O181" s="1"/>
      <c r="P181" s="1"/>
      <c r="Q181" s="1"/>
      <c r="R181" s="1"/>
      <c r="S181" s="1"/>
    </row>
    <row r="182" spans="1:19">
      <c r="A182" s="1"/>
      <c r="B182" s="1"/>
      <c r="C182" s="1"/>
      <c r="D182" s="1"/>
      <c r="E182" s="1"/>
      <c r="F182" s="1"/>
      <c r="G182" s="1"/>
      <c r="H182" s="1"/>
      <c r="I182" s="1"/>
      <c r="J182" s="1"/>
      <c r="K182" s="1"/>
      <c r="L182" s="1"/>
      <c r="M182" s="1"/>
      <c r="N182" s="1"/>
      <c r="O182" s="1"/>
      <c r="P182" s="1"/>
      <c r="Q182" s="1"/>
      <c r="R182" s="1"/>
      <c r="S182" s="1"/>
    </row>
    <row r="183" spans="1:19">
      <c r="A183" s="1"/>
      <c r="B183" s="1"/>
      <c r="C183" s="1"/>
      <c r="D183" s="1"/>
      <c r="E183" s="1"/>
      <c r="F183" s="1"/>
      <c r="G183" s="1"/>
      <c r="H183" s="1"/>
      <c r="I183" s="1"/>
      <c r="J183" s="1"/>
      <c r="K183" s="1"/>
      <c r="L183" s="1"/>
      <c r="M183" s="1"/>
      <c r="N183" s="1"/>
      <c r="O183" s="1"/>
      <c r="P183" s="1"/>
      <c r="Q183" s="1"/>
      <c r="R183" s="1"/>
      <c r="S183" s="1"/>
    </row>
    <row r="184" spans="1:19">
      <c r="A184" s="1"/>
      <c r="B184" s="1"/>
      <c r="C184" s="1"/>
      <c r="D184" s="1"/>
      <c r="E184" s="1"/>
      <c r="F184" s="1"/>
      <c r="G184" s="1"/>
      <c r="H184" s="1"/>
      <c r="I184" s="1"/>
      <c r="J184" s="1"/>
      <c r="K184" s="1"/>
      <c r="L184" s="1"/>
      <c r="M184" s="1"/>
      <c r="N184" s="1"/>
      <c r="O184" s="1"/>
      <c r="P184" s="1"/>
      <c r="Q184" s="1"/>
      <c r="R184" s="1"/>
      <c r="S184" s="1"/>
    </row>
    <row r="185" spans="1:19">
      <c r="A185" s="1"/>
      <c r="B185" s="1"/>
      <c r="C185" s="1"/>
      <c r="D185" s="1"/>
      <c r="E185" s="1"/>
      <c r="F185" s="1"/>
      <c r="G185" s="1"/>
      <c r="H185" s="1"/>
      <c r="I185" s="1"/>
      <c r="J185" s="1"/>
      <c r="K185" s="1"/>
      <c r="L185" s="1"/>
      <c r="M185" s="1"/>
      <c r="N185" s="1"/>
      <c r="O185" s="1"/>
      <c r="P185" s="1"/>
      <c r="Q185" s="1"/>
      <c r="R185" s="1"/>
      <c r="S185" s="1"/>
    </row>
    <row r="186" spans="1:19">
      <c r="A186" s="1"/>
      <c r="B186" s="1"/>
      <c r="C186" s="1"/>
      <c r="D186" s="1"/>
      <c r="E186" s="1"/>
      <c r="F186" s="1"/>
      <c r="G186" s="1"/>
      <c r="H186" s="1"/>
      <c r="I186" s="1"/>
      <c r="J186" s="1"/>
      <c r="K186" s="1"/>
      <c r="L186" s="1"/>
      <c r="M186" s="1"/>
      <c r="N186" s="1"/>
      <c r="O186" s="1"/>
      <c r="P186" s="1"/>
      <c r="Q186" s="1"/>
      <c r="R186" s="1"/>
      <c r="S186" s="1"/>
    </row>
    <row r="187" spans="1:19">
      <c r="A187" s="1"/>
      <c r="B187" s="1"/>
      <c r="C187" s="1"/>
      <c r="D187" s="1"/>
      <c r="E187" s="1"/>
      <c r="F187" s="1"/>
      <c r="G187" s="1"/>
      <c r="H187" s="1"/>
      <c r="I187" s="1"/>
      <c r="J187" s="1"/>
      <c r="K187" s="1"/>
      <c r="L187" s="1"/>
      <c r="M187" s="1"/>
      <c r="N187" s="1"/>
      <c r="O187" s="1"/>
      <c r="P187" s="1"/>
      <c r="Q187" s="1"/>
      <c r="R187" s="1"/>
      <c r="S187" s="1"/>
    </row>
    <row r="188" spans="1:19">
      <c r="A188" s="1"/>
      <c r="B188" s="1"/>
      <c r="C188" s="1"/>
      <c r="D188" s="1"/>
      <c r="E188" s="1"/>
      <c r="F188" s="1"/>
      <c r="G188" s="1"/>
      <c r="H188" s="1"/>
      <c r="I188" s="1"/>
      <c r="J188" s="1"/>
      <c r="K188" s="1"/>
      <c r="L188" s="1"/>
      <c r="M188" s="1"/>
      <c r="N188" s="1"/>
      <c r="O188" s="1"/>
      <c r="P188" s="1"/>
      <c r="Q188" s="1"/>
      <c r="R188" s="1"/>
      <c r="S188" s="1"/>
    </row>
    <row r="189" spans="1:19">
      <c r="A189" s="1"/>
      <c r="B189" s="1"/>
      <c r="C189" s="1"/>
      <c r="D189" s="1"/>
      <c r="E189" s="1"/>
      <c r="F189" s="1"/>
      <c r="G189" s="1"/>
      <c r="H189" s="1"/>
      <c r="I189" s="1"/>
      <c r="J189" s="1"/>
      <c r="K189" s="1"/>
      <c r="L189" s="1"/>
      <c r="M189" s="1"/>
      <c r="N189" s="1"/>
      <c r="O189" s="1"/>
      <c r="P189" s="1"/>
      <c r="Q189" s="1"/>
      <c r="R189" s="1"/>
      <c r="S189" s="1"/>
    </row>
    <row r="190" spans="1:19">
      <c r="A190" s="1"/>
      <c r="B190" s="1"/>
      <c r="C190" s="1"/>
      <c r="D190" s="1"/>
      <c r="E190" s="1"/>
      <c r="F190" s="1"/>
      <c r="G190" s="1"/>
      <c r="H190" s="1"/>
      <c r="I190" s="1"/>
      <c r="J190" s="1"/>
      <c r="K190" s="1"/>
      <c r="L190" s="1"/>
      <c r="M190" s="1"/>
      <c r="N190" s="1"/>
      <c r="O190" s="1"/>
      <c r="P190" s="1"/>
      <c r="Q190" s="1"/>
      <c r="R190" s="1"/>
      <c r="S190" s="1"/>
    </row>
    <row r="191" spans="1:19">
      <c r="A191" s="1"/>
      <c r="B191" s="1"/>
      <c r="C191" s="1"/>
      <c r="D191" s="1"/>
      <c r="E191" s="1"/>
      <c r="F191" s="1"/>
      <c r="G191" s="1"/>
      <c r="H191" s="1"/>
      <c r="I191" s="1"/>
      <c r="J191" s="1"/>
      <c r="K191" s="1"/>
      <c r="L191" s="1"/>
      <c r="M191" s="1"/>
      <c r="N191" s="1"/>
      <c r="O191" s="1"/>
      <c r="P191" s="1"/>
      <c r="Q191" s="1"/>
      <c r="R191" s="1"/>
      <c r="S191" s="1"/>
    </row>
    <row r="192" spans="1:19">
      <c r="A192" s="1"/>
      <c r="B192" s="1"/>
      <c r="C192" s="1"/>
      <c r="D192" s="1"/>
      <c r="E192" s="1"/>
      <c r="F192" s="1"/>
      <c r="G192" s="1"/>
      <c r="H192" s="1"/>
      <c r="I192" s="1"/>
      <c r="J192" s="1"/>
      <c r="K192" s="1"/>
      <c r="L192" s="1"/>
      <c r="M192" s="1"/>
      <c r="N192" s="1"/>
      <c r="O192" s="1"/>
      <c r="P192" s="1"/>
      <c r="Q192" s="1"/>
      <c r="R192" s="1"/>
      <c r="S192" s="1"/>
    </row>
    <row r="193" spans="1:19">
      <c r="A193" s="1"/>
      <c r="B193" s="1"/>
      <c r="C193" s="1"/>
      <c r="D193" s="1"/>
      <c r="E193" s="1"/>
      <c r="F193" s="1"/>
      <c r="G193" s="1"/>
      <c r="H193" s="1"/>
      <c r="I193" s="1"/>
      <c r="J193" s="1"/>
      <c r="K193" s="1"/>
      <c r="L193" s="1"/>
      <c r="M193" s="1"/>
      <c r="N193" s="1"/>
      <c r="O193" s="1"/>
      <c r="P193" s="1"/>
      <c r="Q193" s="1"/>
      <c r="R193" s="1"/>
      <c r="S193" s="1"/>
    </row>
    <row r="194" spans="1:19">
      <c r="A194" s="1"/>
      <c r="B194" s="1"/>
      <c r="C194" s="1"/>
      <c r="D194" s="1"/>
      <c r="E194" s="1"/>
      <c r="F194" s="1"/>
      <c r="G194" s="1"/>
      <c r="H194" s="1"/>
      <c r="I194" s="1"/>
      <c r="J194" s="1"/>
      <c r="K194" s="1"/>
      <c r="L194" s="1"/>
      <c r="M194" s="1"/>
      <c r="N194" s="1"/>
      <c r="O194" s="1"/>
      <c r="P194" s="1"/>
      <c r="Q194" s="1"/>
      <c r="R194" s="1"/>
      <c r="S194" s="1"/>
    </row>
    <row r="195" spans="1:19">
      <c r="A195" s="1"/>
      <c r="B195" s="1"/>
      <c r="C195" s="1"/>
      <c r="D195" s="1"/>
      <c r="E195" s="1"/>
      <c r="F195" s="1"/>
      <c r="G195" s="1"/>
      <c r="H195" s="1"/>
      <c r="I195" s="1"/>
      <c r="J195" s="1"/>
      <c r="K195" s="1"/>
      <c r="L195" s="1"/>
      <c r="M195" s="1"/>
      <c r="N195" s="1"/>
      <c r="O195" s="1"/>
      <c r="P195" s="1"/>
      <c r="Q195" s="1"/>
      <c r="R195" s="1"/>
      <c r="S195" s="1"/>
    </row>
    <row r="196" spans="1:19">
      <c r="A196" s="1"/>
      <c r="B196" s="1"/>
      <c r="C196" s="1"/>
      <c r="D196" s="1"/>
      <c r="E196" s="1"/>
      <c r="F196" s="1"/>
      <c r="G196" s="1"/>
      <c r="H196" s="1"/>
      <c r="I196" s="1"/>
      <c r="J196" s="1"/>
      <c r="K196" s="1"/>
      <c r="L196" s="1"/>
      <c r="M196" s="1"/>
      <c r="N196" s="1"/>
      <c r="O196" s="1"/>
      <c r="P196" s="1"/>
      <c r="Q196" s="1"/>
      <c r="R196" s="1"/>
      <c r="S196" s="1"/>
    </row>
    <row r="197" spans="1:19">
      <c r="A197" s="1"/>
      <c r="B197" s="1"/>
      <c r="C197" s="1"/>
      <c r="D197" s="1"/>
      <c r="E197" s="1"/>
      <c r="F197" s="1"/>
      <c r="G197" s="1"/>
      <c r="H197" s="1"/>
      <c r="I197" s="1"/>
      <c r="J197" s="1"/>
      <c r="K197" s="1"/>
      <c r="L197" s="1"/>
      <c r="M197" s="1"/>
      <c r="N197" s="1"/>
      <c r="O197" s="1"/>
      <c r="P197" s="1"/>
      <c r="Q197" s="1"/>
      <c r="R197" s="1"/>
      <c r="S197" s="1"/>
    </row>
    <row r="198" spans="1:19">
      <c r="A198" s="1"/>
      <c r="B198" s="1"/>
      <c r="C198" s="1"/>
      <c r="D198" s="1"/>
      <c r="E198" s="1"/>
      <c r="F198" s="1"/>
      <c r="G198" s="1"/>
      <c r="H198" s="1"/>
      <c r="I198" s="1"/>
      <c r="J198" s="1"/>
      <c r="K198" s="1"/>
      <c r="L198" s="1"/>
      <c r="M198" s="1"/>
      <c r="N198" s="1"/>
      <c r="O198" s="1"/>
      <c r="P198" s="1"/>
      <c r="Q198" s="1"/>
      <c r="R198" s="1"/>
      <c r="S198" s="1"/>
    </row>
    <row r="199" spans="1:19">
      <c r="A199" s="1"/>
      <c r="B199" s="1"/>
      <c r="C199" s="1"/>
      <c r="D199" s="1"/>
      <c r="E199" s="1"/>
      <c r="F199" s="1"/>
      <c r="G199" s="1"/>
      <c r="H199" s="1"/>
      <c r="I199" s="1"/>
      <c r="J199" s="1"/>
      <c r="K199" s="1"/>
      <c r="L199" s="1"/>
      <c r="M199" s="1"/>
      <c r="N199" s="1"/>
      <c r="O199" s="1"/>
      <c r="P199" s="1"/>
      <c r="Q199" s="1"/>
      <c r="R199" s="1"/>
      <c r="S199" s="1"/>
    </row>
    <row r="200" spans="1:19">
      <c r="A200" s="1"/>
      <c r="B200" s="1"/>
      <c r="C200" s="1"/>
      <c r="D200" s="1"/>
      <c r="E200" s="1"/>
      <c r="F200" s="1"/>
      <c r="G200" s="1"/>
      <c r="H200" s="1"/>
      <c r="I200" s="1"/>
      <c r="J200" s="1"/>
      <c r="K200" s="1"/>
      <c r="L200" s="1"/>
      <c r="M200" s="1"/>
      <c r="N200" s="1"/>
      <c r="O200" s="1"/>
      <c r="P200" s="1"/>
      <c r="Q200" s="1"/>
      <c r="R200" s="1"/>
      <c r="S200" s="1"/>
    </row>
    <row r="201" spans="1:19">
      <c r="A201" s="1"/>
      <c r="B201" s="1"/>
      <c r="C201" s="1"/>
      <c r="D201" s="1"/>
      <c r="E201" s="1"/>
      <c r="F201" s="1"/>
      <c r="G201" s="1"/>
      <c r="H201" s="1"/>
      <c r="I201" s="1"/>
      <c r="J201" s="1"/>
      <c r="K201" s="1"/>
      <c r="L201" s="1"/>
      <c r="M201" s="1"/>
      <c r="N201" s="1"/>
      <c r="O201" s="1"/>
      <c r="P201" s="1"/>
      <c r="Q201" s="1"/>
      <c r="R201" s="1"/>
      <c r="S201" s="1"/>
    </row>
    <row r="202" spans="1:19">
      <c r="A202" s="1"/>
      <c r="B202" s="1"/>
      <c r="C202" s="1"/>
      <c r="D202" s="1"/>
      <c r="E202" s="1"/>
      <c r="F202" s="1"/>
      <c r="G202" s="1"/>
      <c r="H202" s="1"/>
      <c r="I202" s="1"/>
      <c r="J202" s="1"/>
      <c r="K202" s="1"/>
      <c r="L202" s="1"/>
      <c r="M202" s="1"/>
      <c r="N202" s="1"/>
      <c r="O202" s="1"/>
      <c r="P202" s="1"/>
      <c r="Q202" s="1"/>
      <c r="R202" s="1"/>
      <c r="S202" s="1"/>
    </row>
    <row r="203" spans="1:19">
      <c r="A203" s="1"/>
      <c r="B203" s="1"/>
      <c r="C203" s="1"/>
      <c r="D203" s="1"/>
      <c r="E203" s="1"/>
      <c r="F203" s="1"/>
      <c r="G203" s="1"/>
      <c r="H203" s="1"/>
      <c r="I203" s="1"/>
      <c r="J203" s="1"/>
      <c r="K203" s="1"/>
      <c r="L203" s="1"/>
      <c r="M203" s="1"/>
      <c r="N203" s="1"/>
      <c r="O203" s="1"/>
      <c r="P203" s="1"/>
      <c r="Q203" s="1"/>
      <c r="R203" s="1"/>
      <c r="S203" s="1"/>
    </row>
    <row r="204" spans="1:19">
      <c r="A204" s="1"/>
      <c r="B204" s="1"/>
      <c r="C204" s="1"/>
      <c r="D204" s="1"/>
      <c r="E204" s="1"/>
      <c r="F204" s="1"/>
      <c r="G204" s="1"/>
      <c r="H204" s="1"/>
      <c r="I204" s="1"/>
      <c r="J204" s="1"/>
      <c r="K204" s="1"/>
      <c r="L204" s="1"/>
      <c r="M204" s="1"/>
      <c r="N204" s="1"/>
      <c r="O204" s="1"/>
      <c r="P204" s="1"/>
      <c r="Q204" s="1"/>
      <c r="R204" s="1"/>
      <c r="S204" s="1"/>
    </row>
    <row r="205" spans="1:19">
      <c r="A205" s="1"/>
      <c r="B205" s="1"/>
      <c r="C205" s="1"/>
      <c r="D205" s="1"/>
      <c r="E205" s="1"/>
      <c r="F205" s="1"/>
      <c r="G205" s="1"/>
      <c r="H205" s="1"/>
      <c r="I205" s="1"/>
      <c r="J205" s="1"/>
      <c r="K205" s="1"/>
      <c r="L205" s="1"/>
      <c r="M205" s="1"/>
      <c r="N205" s="1"/>
      <c r="O205" s="1"/>
      <c r="P205" s="1"/>
      <c r="Q205" s="1"/>
      <c r="R205" s="1"/>
      <c r="S205" s="1"/>
    </row>
    <row r="206" spans="1:19">
      <c r="A206" s="1"/>
      <c r="B206" s="1"/>
      <c r="C206" s="1"/>
      <c r="D206" s="1"/>
      <c r="E206" s="1"/>
      <c r="F206" s="1"/>
      <c r="G206" s="1"/>
      <c r="H206" s="1"/>
      <c r="I206" s="1"/>
      <c r="J206" s="1"/>
      <c r="K206" s="1"/>
      <c r="L206" s="1"/>
      <c r="M206" s="1"/>
      <c r="N206" s="1"/>
      <c r="O206" s="1"/>
      <c r="P206" s="1"/>
      <c r="Q206" s="1"/>
      <c r="R206" s="1"/>
      <c r="S206" s="1"/>
    </row>
    <row r="207" spans="1:19">
      <c r="A207" s="1"/>
      <c r="B207" s="1"/>
      <c r="C207" s="1"/>
      <c r="D207" s="1"/>
      <c r="E207" s="1"/>
      <c r="F207" s="1"/>
      <c r="G207" s="1"/>
      <c r="H207" s="1"/>
      <c r="I207" s="1"/>
      <c r="J207" s="1"/>
      <c r="K207" s="1"/>
      <c r="L207" s="1"/>
      <c r="M207" s="1"/>
      <c r="N207" s="1"/>
      <c r="O207" s="1"/>
      <c r="P207" s="1"/>
      <c r="Q207" s="1"/>
      <c r="R207" s="1"/>
      <c r="S207" s="1"/>
    </row>
    <row r="208" spans="1:19">
      <c r="A208" s="1"/>
      <c r="B208" s="1"/>
      <c r="C208" s="1"/>
      <c r="D208" s="1"/>
      <c r="E208" s="1"/>
      <c r="F208" s="1"/>
      <c r="G208" s="1"/>
      <c r="H208" s="1"/>
      <c r="I208" s="1"/>
      <c r="J208" s="1"/>
      <c r="K208" s="1"/>
      <c r="L208" s="1"/>
      <c r="M208" s="1"/>
      <c r="N208" s="1"/>
      <c r="O208" s="1"/>
      <c r="P208" s="1"/>
      <c r="Q208" s="1"/>
      <c r="R208" s="1"/>
      <c r="S208" s="1"/>
    </row>
    <row r="209" spans="1:19">
      <c r="A209" s="1"/>
      <c r="B209" s="1"/>
      <c r="C209" s="1"/>
      <c r="D209" s="1"/>
      <c r="E209" s="1"/>
      <c r="F209" s="1"/>
      <c r="G209" s="1"/>
      <c r="H209" s="1"/>
      <c r="I209" s="1"/>
      <c r="J209" s="1"/>
      <c r="K209" s="1"/>
      <c r="L209" s="1"/>
      <c r="M209" s="1"/>
      <c r="N209" s="1"/>
      <c r="O209" s="1"/>
      <c r="P209" s="1"/>
      <c r="Q209" s="1"/>
      <c r="R209" s="1"/>
      <c r="S209" s="1"/>
    </row>
    <row r="210" spans="1:19">
      <c r="A210" s="1"/>
      <c r="B210" s="1"/>
      <c r="C210" s="1"/>
      <c r="D210" s="1"/>
      <c r="E210" s="1"/>
      <c r="F210" s="1"/>
      <c r="G210" s="1"/>
      <c r="H210" s="1"/>
      <c r="I210" s="1"/>
      <c r="J210" s="1"/>
      <c r="K210" s="1"/>
      <c r="L210" s="1"/>
      <c r="M210" s="1"/>
      <c r="N210" s="1"/>
      <c r="O210" s="1"/>
      <c r="P210" s="1"/>
      <c r="Q210" s="1"/>
      <c r="R210" s="1"/>
      <c r="S210" s="1"/>
    </row>
    <row r="211" spans="1:19">
      <c r="A211" s="1"/>
      <c r="B211" s="1"/>
      <c r="C211" s="1"/>
      <c r="D211" s="1"/>
      <c r="E211" s="1"/>
      <c r="F211" s="1"/>
      <c r="G211" s="1"/>
      <c r="H211" s="1"/>
      <c r="I211" s="1"/>
      <c r="J211" s="1"/>
      <c r="K211" s="1"/>
      <c r="L211" s="1"/>
      <c r="M211" s="1"/>
      <c r="N211" s="1"/>
      <c r="O211" s="1"/>
      <c r="P211" s="1"/>
      <c r="Q211" s="1"/>
      <c r="R211" s="1"/>
      <c r="S211" s="1"/>
    </row>
    <row r="212" spans="1:19">
      <c r="A212" s="1"/>
      <c r="B212" s="1"/>
      <c r="C212" s="1"/>
      <c r="D212" s="1"/>
      <c r="E212" s="1"/>
      <c r="F212" s="1"/>
      <c r="G212" s="1"/>
      <c r="H212" s="1"/>
      <c r="I212" s="1"/>
      <c r="J212" s="1"/>
      <c r="K212" s="1"/>
      <c r="L212" s="1"/>
      <c r="M212" s="1"/>
      <c r="N212" s="1"/>
      <c r="O212" s="1"/>
      <c r="P212" s="1"/>
      <c r="Q212" s="1"/>
      <c r="R212" s="1"/>
      <c r="S212" s="1"/>
    </row>
    <row r="213" spans="1:19">
      <c r="A213" s="1"/>
      <c r="B213" s="1"/>
      <c r="C213" s="1"/>
      <c r="D213" s="1"/>
      <c r="E213" s="1"/>
      <c r="F213" s="1"/>
      <c r="G213" s="1"/>
      <c r="H213" s="1"/>
      <c r="I213" s="1"/>
      <c r="J213" s="1"/>
      <c r="K213" s="1"/>
      <c r="L213" s="1"/>
      <c r="M213" s="1"/>
      <c r="N213" s="1"/>
      <c r="O213" s="1"/>
      <c r="P213" s="1"/>
      <c r="Q213" s="1"/>
      <c r="R213" s="1"/>
      <c r="S213" s="1"/>
    </row>
    <row r="214" spans="1:19">
      <c r="A214" s="1"/>
      <c r="B214" s="1"/>
      <c r="C214" s="1"/>
      <c r="D214" s="1"/>
      <c r="E214" s="1"/>
      <c r="F214" s="1"/>
      <c r="G214" s="1"/>
      <c r="H214" s="1"/>
      <c r="I214" s="1"/>
      <c r="J214" s="1"/>
      <c r="K214" s="1"/>
      <c r="L214" s="1"/>
      <c r="M214" s="1"/>
      <c r="N214" s="1"/>
      <c r="O214" s="1"/>
      <c r="P214" s="1"/>
      <c r="Q214" s="1"/>
      <c r="R214" s="1"/>
      <c r="S214" s="1"/>
    </row>
    <row r="215" spans="1:19">
      <c r="A215" s="1"/>
      <c r="B215" s="1"/>
      <c r="C215" s="1"/>
      <c r="D215" s="1"/>
      <c r="E215" s="1"/>
      <c r="F215" s="1"/>
      <c r="G215" s="1"/>
      <c r="H215" s="1"/>
      <c r="I215" s="1"/>
      <c r="J215" s="1"/>
      <c r="K215" s="1"/>
      <c r="L215" s="1"/>
      <c r="M215" s="1"/>
      <c r="N215" s="1"/>
      <c r="O215" s="1"/>
      <c r="P215" s="1"/>
      <c r="Q215" s="1"/>
      <c r="R215" s="1"/>
      <c r="S215" s="1"/>
    </row>
    <row r="216" spans="1:19">
      <c r="A216" s="1"/>
      <c r="B216" s="1"/>
      <c r="C216" s="1"/>
      <c r="D216" s="1"/>
      <c r="E216" s="1"/>
      <c r="F216" s="1"/>
      <c r="G216" s="1"/>
      <c r="H216" s="1"/>
      <c r="I216" s="1"/>
      <c r="J216" s="1"/>
      <c r="K216" s="1"/>
      <c r="L216" s="1"/>
      <c r="M216" s="1"/>
      <c r="N216" s="1"/>
      <c r="O216" s="1"/>
      <c r="P216" s="1"/>
      <c r="Q216" s="1"/>
      <c r="R216" s="1"/>
      <c r="S216" s="1"/>
    </row>
    <row r="217" spans="1:19">
      <c r="A217" s="1"/>
      <c r="B217" s="1"/>
      <c r="C217" s="1"/>
      <c r="D217" s="1"/>
      <c r="E217" s="1"/>
      <c r="F217" s="1"/>
      <c r="G217" s="1"/>
      <c r="H217" s="1"/>
      <c r="I217" s="1"/>
      <c r="J217" s="1"/>
      <c r="K217" s="1"/>
      <c r="L217" s="1"/>
      <c r="M217" s="1"/>
      <c r="N217" s="1"/>
      <c r="O217" s="1"/>
      <c r="P217" s="1"/>
      <c r="Q217" s="1"/>
      <c r="R217" s="1"/>
      <c r="S217" s="1"/>
    </row>
    <row r="218" spans="1:19">
      <c r="A218" s="1"/>
      <c r="B218" s="1"/>
      <c r="C218" s="1"/>
      <c r="D218" s="1"/>
      <c r="E218" s="1"/>
      <c r="F218" s="1"/>
      <c r="G218" s="1"/>
      <c r="H218" s="1"/>
      <c r="I218" s="1"/>
      <c r="J218" s="1"/>
      <c r="K218" s="1"/>
      <c r="L218" s="1"/>
      <c r="M218" s="1"/>
      <c r="N218" s="1"/>
      <c r="O218" s="1"/>
      <c r="P218" s="1"/>
      <c r="Q218" s="1"/>
      <c r="R218" s="1"/>
      <c r="S218" s="1"/>
    </row>
    <row r="219" spans="1:19">
      <c r="A219" s="1"/>
      <c r="B219" s="1"/>
      <c r="C219" s="1"/>
      <c r="D219" s="1"/>
      <c r="E219" s="1"/>
      <c r="F219" s="1"/>
      <c r="G219" s="1"/>
      <c r="H219" s="1"/>
      <c r="I219" s="1"/>
      <c r="J219" s="1"/>
      <c r="K219" s="1"/>
      <c r="L219" s="1"/>
      <c r="M219" s="1"/>
      <c r="N219" s="1"/>
      <c r="O219" s="1"/>
      <c r="P219" s="1"/>
      <c r="Q219" s="1"/>
      <c r="R219" s="1"/>
      <c r="S219" s="1"/>
    </row>
    <row r="220" spans="1:19">
      <c r="A220" s="1"/>
      <c r="B220" s="1"/>
      <c r="C220" s="1"/>
      <c r="D220" s="1"/>
      <c r="E220" s="1"/>
      <c r="F220" s="1"/>
      <c r="G220" s="1"/>
      <c r="H220" s="1"/>
      <c r="I220" s="1"/>
      <c r="J220" s="1"/>
      <c r="K220" s="1"/>
      <c r="L220" s="1"/>
      <c r="M220" s="1"/>
      <c r="N220" s="1"/>
      <c r="O220" s="1"/>
      <c r="P220" s="1"/>
      <c r="Q220" s="1"/>
      <c r="R220" s="1"/>
      <c r="S220" s="1"/>
    </row>
    <row r="221" spans="1:19">
      <c r="A221" s="1"/>
      <c r="B221" s="1"/>
      <c r="C221" s="1"/>
      <c r="D221" s="1"/>
      <c r="E221" s="1"/>
      <c r="F221" s="1"/>
      <c r="G221" s="1"/>
      <c r="H221" s="1"/>
      <c r="I221" s="1"/>
      <c r="J221" s="1"/>
      <c r="K221" s="1"/>
      <c r="L221" s="1"/>
      <c r="M221" s="1"/>
      <c r="N221" s="1"/>
      <c r="O221" s="1"/>
      <c r="P221" s="1"/>
      <c r="Q221" s="1"/>
      <c r="R221" s="1"/>
      <c r="S221" s="1"/>
    </row>
    <row r="222" spans="1:19">
      <c r="A222" s="1"/>
      <c r="B222" s="1"/>
      <c r="C222" s="1"/>
      <c r="D222" s="1"/>
      <c r="E222" s="1"/>
      <c r="F222" s="1"/>
      <c r="G222" s="1"/>
      <c r="H222" s="1"/>
      <c r="I222" s="1"/>
      <c r="J222" s="1"/>
      <c r="K222" s="1"/>
      <c r="L222" s="1"/>
      <c r="M222" s="1"/>
      <c r="N222" s="1"/>
      <c r="O222" s="1"/>
      <c r="P222" s="1"/>
      <c r="Q222" s="1"/>
      <c r="R222" s="1"/>
      <c r="S222" s="1"/>
    </row>
    <row r="223" spans="1:19">
      <c r="A223" s="1"/>
      <c r="B223" s="1"/>
      <c r="C223" s="1"/>
      <c r="D223" s="1"/>
      <c r="E223" s="1"/>
      <c r="F223" s="1"/>
      <c r="G223" s="1"/>
      <c r="H223" s="1"/>
      <c r="I223" s="1"/>
      <c r="J223" s="1"/>
      <c r="K223" s="1"/>
      <c r="L223" s="1"/>
      <c r="M223" s="1"/>
      <c r="N223" s="1"/>
      <c r="O223" s="1"/>
      <c r="P223" s="1"/>
      <c r="Q223" s="1"/>
      <c r="R223" s="1"/>
      <c r="S223" s="1"/>
    </row>
    <row r="224" spans="1:19">
      <c r="A224" s="1"/>
      <c r="B224" s="1"/>
      <c r="C224" s="1"/>
      <c r="D224" s="1"/>
      <c r="E224" s="1"/>
      <c r="F224" s="1"/>
      <c r="G224" s="1"/>
      <c r="H224" s="1"/>
      <c r="I224" s="1"/>
      <c r="J224" s="1"/>
      <c r="K224" s="1"/>
      <c r="L224" s="1"/>
      <c r="M224" s="1"/>
      <c r="N224" s="1"/>
      <c r="O224" s="1"/>
      <c r="P224" s="1"/>
      <c r="Q224" s="1"/>
      <c r="R224" s="1"/>
      <c r="S224" s="1"/>
    </row>
    <row r="225" spans="1:19">
      <c r="A225" s="1"/>
      <c r="B225" s="1"/>
      <c r="C225" s="1"/>
      <c r="D225" s="1"/>
      <c r="E225" s="1"/>
      <c r="F225" s="1"/>
      <c r="G225" s="1"/>
      <c r="H225" s="1"/>
      <c r="I225" s="1"/>
      <c r="J225" s="1"/>
      <c r="K225" s="1"/>
      <c r="L225" s="1"/>
      <c r="M225" s="1"/>
      <c r="N225" s="1"/>
      <c r="O225" s="1"/>
      <c r="P225" s="1"/>
      <c r="Q225" s="1"/>
      <c r="R225" s="1"/>
      <c r="S225" s="1"/>
    </row>
    <row r="226" spans="1:19">
      <c r="A226" s="1"/>
      <c r="B226" s="1"/>
      <c r="C226" s="1"/>
      <c r="D226" s="1"/>
      <c r="E226" s="1"/>
      <c r="F226" s="1"/>
      <c r="G226" s="1"/>
      <c r="H226" s="1"/>
      <c r="I226" s="1"/>
      <c r="J226" s="1"/>
      <c r="K226" s="1"/>
      <c r="L226" s="1"/>
      <c r="M226" s="1"/>
      <c r="N226" s="1"/>
      <c r="O226" s="1"/>
      <c r="P226" s="1"/>
      <c r="Q226" s="1"/>
      <c r="R226" s="1"/>
      <c r="S226" s="1"/>
    </row>
    <row r="227" spans="1:19">
      <c r="A227" s="1"/>
      <c r="B227" s="1"/>
      <c r="C227" s="1"/>
      <c r="D227" s="1"/>
      <c r="E227" s="1"/>
      <c r="F227" s="1"/>
      <c r="G227" s="1"/>
      <c r="H227" s="1"/>
      <c r="I227" s="1"/>
      <c r="J227" s="1"/>
      <c r="K227" s="1"/>
      <c r="L227" s="1"/>
      <c r="M227" s="1"/>
      <c r="N227" s="1"/>
      <c r="O227" s="1"/>
      <c r="P227" s="1"/>
      <c r="Q227" s="1"/>
      <c r="R227" s="1"/>
      <c r="S227" s="1"/>
    </row>
    <row r="228" spans="1:19">
      <c r="A228" s="1"/>
      <c r="B228" s="1"/>
      <c r="C228" s="1"/>
      <c r="D228" s="1"/>
      <c r="E228" s="1"/>
      <c r="F228" s="1"/>
      <c r="G228" s="1"/>
      <c r="H228" s="1"/>
      <c r="I228" s="1"/>
      <c r="J228" s="1"/>
      <c r="K228" s="1"/>
      <c r="L228" s="1"/>
      <c r="M228" s="1"/>
      <c r="N228" s="1"/>
      <c r="O228" s="1"/>
      <c r="P228" s="1"/>
      <c r="Q228" s="1"/>
      <c r="R228" s="1"/>
      <c r="S228" s="1"/>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EB6C-2361-49EE-9BED-95671DA5199C}">
  <sheetPr codeName="Tabelle2">
    <tabColor rgb="FF002060"/>
  </sheetPr>
  <dimension ref="A1:BX571"/>
  <sheetViews>
    <sheetView topLeftCell="A123" zoomScale="85" zoomScaleNormal="85" workbookViewId="0">
      <selection activeCell="D173" sqref="D173"/>
    </sheetView>
  </sheetViews>
  <sheetFormatPr baseColWidth="10" defaultColWidth="11.140625" defaultRowHeight="12"/>
  <cols>
    <col min="1" max="1" width="38.85546875" customWidth="1"/>
    <col min="2" max="2" width="7.42578125" style="1" customWidth="1"/>
    <col min="3" max="3" width="10.5703125" style="286" customWidth="1"/>
    <col min="4" max="4" width="70.7109375" customWidth="1"/>
    <col min="5" max="6" width="9.85546875" style="12" customWidth="1"/>
    <col min="7" max="7" width="9.85546875" customWidth="1"/>
    <col min="8" max="8" width="30.42578125" style="273" customWidth="1"/>
    <col min="9" max="9" width="22.42578125" style="273" customWidth="1"/>
    <col min="10" max="10" width="25.85546875" style="273" customWidth="1"/>
    <col min="11" max="11" width="23.7109375" style="10" customWidth="1"/>
    <col min="12" max="12" width="15.140625" customWidth="1"/>
    <col min="13" max="13" width="19" customWidth="1"/>
    <col min="14" max="14" width="31.140625" customWidth="1"/>
    <col min="15" max="15" width="20.140625" customWidth="1"/>
  </cols>
  <sheetData>
    <row r="1" spans="1:76" s="1" customFormat="1">
      <c r="C1" s="241"/>
      <c r="E1" s="300"/>
      <c r="F1" s="300"/>
      <c r="H1" s="242"/>
      <c r="I1" s="242"/>
      <c r="J1" s="242"/>
      <c r="K1" s="9"/>
    </row>
    <row r="2" spans="1:76" s="1" customFormat="1">
      <c r="C2" s="241"/>
      <c r="E2" s="300"/>
      <c r="F2" s="300"/>
      <c r="H2" s="242"/>
      <c r="I2" s="242"/>
      <c r="J2" s="242"/>
      <c r="K2" s="9"/>
    </row>
    <row r="3" spans="1:76" s="1" customFormat="1">
      <c r="C3" s="241"/>
      <c r="E3" s="300"/>
      <c r="F3" s="300"/>
      <c r="H3" s="242"/>
      <c r="I3" s="242"/>
      <c r="J3" s="242"/>
      <c r="K3" s="9"/>
    </row>
    <row r="4" spans="1:76" s="1" customFormat="1">
      <c r="C4" s="241"/>
      <c r="E4" s="300"/>
      <c r="F4" s="300"/>
      <c r="H4" s="242"/>
      <c r="I4" s="242"/>
      <c r="J4" s="242"/>
      <c r="K4" s="9"/>
    </row>
    <row r="5" spans="1:76" s="1" customFormat="1">
      <c r="C5" s="241"/>
      <c r="E5" s="300"/>
      <c r="F5" s="300"/>
      <c r="H5" s="242"/>
      <c r="I5" s="242"/>
      <c r="J5" s="242"/>
      <c r="K5" s="9"/>
    </row>
    <row r="6" spans="1:76" s="1" customFormat="1">
      <c r="C6" s="241"/>
      <c r="E6" s="300"/>
      <c r="F6" s="300"/>
      <c r="H6" s="242"/>
      <c r="I6" s="242"/>
      <c r="J6" s="242"/>
      <c r="K6" s="9"/>
    </row>
    <row r="7" spans="1:76" s="1" customFormat="1">
      <c r="C7" s="241"/>
      <c r="E7" s="300"/>
      <c r="F7" s="300"/>
      <c r="H7" s="242"/>
      <c r="I7" s="242"/>
      <c r="J7" s="242"/>
      <c r="K7" s="9"/>
    </row>
    <row r="8" spans="1:76" s="1" customFormat="1">
      <c r="C8" s="241"/>
      <c r="E8" s="300"/>
      <c r="F8" s="300"/>
      <c r="H8" s="242"/>
      <c r="I8" s="242"/>
      <c r="J8" s="242"/>
      <c r="K8" s="9"/>
    </row>
    <row r="9" spans="1:76" s="1" customFormat="1" ht="38.450000000000003" customHeight="1">
      <c r="C9" s="440" t="s">
        <v>1511</v>
      </c>
      <c r="D9" s="440"/>
      <c r="E9" s="440"/>
      <c r="F9" s="440"/>
      <c r="G9" s="440"/>
      <c r="H9" s="440"/>
      <c r="I9" s="440"/>
      <c r="J9" s="440"/>
      <c r="K9" s="440"/>
    </row>
    <row r="10" spans="1:76">
      <c r="A10" s="1"/>
      <c r="C10" s="241"/>
      <c r="D10" s="1"/>
      <c r="E10" s="300"/>
      <c r="F10" s="300"/>
      <c r="G10" s="1"/>
      <c r="H10" s="242"/>
      <c r="I10" s="242"/>
      <c r="J10" s="242"/>
      <c r="K10" s="9"/>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28.5" customHeight="1">
      <c r="A11" s="1"/>
      <c r="C11" s="241"/>
      <c r="D11" s="1"/>
      <c r="E11" s="300"/>
      <c r="F11" s="300"/>
      <c r="G11" s="1"/>
      <c r="I11" s="306"/>
      <c r="J11" s="448"/>
      <c r="K11" s="448"/>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21.75" customHeight="1">
      <c r="A12" s="1"/>
      <c r="C12" s="241"/>
      <c r="D12" s="7"/>
      <c r="E12" s="287"/>
      <c r="F12" s="287"/>
      <c r="G12" s="7"/>
      <c r="I12" s="306"/>
      <c r="J12" s="367"/>
      <c r="K12" s="367"/>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27" customHeight="1">
      <c r="A13" s="1"/>
      <c r="B13" s="5"/>
      <c r="C13" s="445" t="s">
        <v>2</v>
      </c>
      <c r="D13" s="446"/>
      <c r="E13" s="446"/>
      <c r="F13" s="446"/>
      <c r="G13" s="446"/>
      <c r="H13" s="446"/>
      <c r="I13" s="446"/>
      <c r="J13" s="446"/>
      <c r="K13" s="447"/>
      <c r="L13" s="1"/>
      <c r="M13" s="245"/>
      <c r="N13" s="439"/>
      <c r="O13" s="439"/>
      <c r="P13" s="439"/>
      <c r="Q13" s="439"/>
      <c r="R13" s="439"/>
      <c r="S13" s="439"/>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85.5" customHeight="1">
      <c r="A14" s="1"/>
      <c r="B14" s="5"/>
      <c r="C14" s="408" t="s">
        <v>1517</v>
      </c>
      <c r="D14" s="409"/>
      <c r="E14" s="409"/>
      <c r="F14" s="409"/>
      <c r="G14" s="409"/>
      <c r="H14" s="409"/>
      <c r="I14" s="409"/>
      <c r="J14" s="409"/>
      <c r="K14" s="410"/>
      <c r="L14" s="1"/>
      <c r="M14" s="245"/>
      <c r="N14" s="246"/>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27" customHeight="1">
      <c r="A15" s="1"/>
      <c r="B15" s="5"/>
      <c r="C15" s="431" t="s">
        <v>1512</v>
      </c>
      <c r="D15" s="432"/>
      <c r="E15" s="415" t="s">
        <v>3</v>
      </c>
      <c r="F15" s="416"/>
      <c r="G15" s="416"/>
      <c r="H15" s="433" t="s">
        <v>4</v>
      </c>
      <c r="I15" s="422" t="s">
        <v>1514</v>
      </c>
      <c r="J15" s="422" t="s">
        <v>1516</v>
      </c>
      <c r="K15" s="437" t="s">
        <v>5</v>
      </c>
      <c r="L15" s="8"/>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27.75" customHeight="1">
      <c r="A16" s="1"/>
      <c r="B16" s="5"/>
      <c r="C16" s="431"/>
      <c r="D16" s="432"/>
      <c r="E16" s="314" t="s">
        <v>6</v>
      </c>
      <c r="F16" s="315" t="s">
        <v>7</v>
      </c>
      <c r="G16" s="317" t="s">
        <v>8</v>
      </c>
      <c r="H16" s="434"/>
      <c r="I16" s="423"/>
      <c r="J16" s="423"/>
      <c r="K16" s="44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38.25" customHeight="1">
      <c r="A17" s="1"/>
      <c r="B17" s="5"/>
      <c r="C17" s="340">
        <v>1.1000000000000001</v>
      </c>
      <c r="D17" s="247" t="s">
        <v>1513</v>
      </c>
      <c r="E17" s="231"/>
      <c r="F17" s="240" t="s">
        <v>9</v>
      </c>
      <c r="G17" s="231"/>
      <c r="I17" s="255" t="str">
        <f>IF(OR(E17="x",F17="x"),"Demande supplémentaire ou annulation","")</f>
        <v>Demande supplémentaire ou annulation</v>
      </c>
      <c r="J17" s="248"/>
      <c r="K17" s="240" t="s">
        <v>1515</v>
      </c>
      <c r="L17" s="190"/>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39" customHeight="1">
      <c r="A18" s="1"/>
      <c r="B18" s="5"/>
      <c r="C18" s="336">
        <v>1.2</v>
      </c>
      <c r="D18" s="249" t="s">
        <v>10</v>
      </c>
      <c r="E18" s="231"/>
      <c r="F18" s="240" t="s">
        <v>11</v>
      </c>
      <c r="G18" s="231"/>
      <c r="H18" s="248"/>
      <c r="I18" s="255" t="str">
        <f>IF(OR(E18="x",F18="x"),"Demande supplémentaire ou annulation","")</f>
        <v>Demande supplémentaire ou annulation</v>
      </c>
      <c r="J18" s="248"/>
      <c r="K18" s="240" t="s">
        <v>1515</v>
      </c>
      <c r="L18" s="190"/>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27" customHeight="1">
      <c r="A19" s="1"/>
      <c r="B19" s="5"/>
      <c r="C19" s="241"/>
      <c r="D19" s="250"/>
      <c r="E19" s="251"/>
      <c r="F19" s="251"/>
      <c r="G19" s="251"/>
      <c r="H19" s="252"/>
      <c r="I19" s="252"/>
      <c r="J19" s="252"/>
      <c r="K19" s="253"/>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27" customHeight="1">
      <c r="A20" s="1"/>
      <c r="C20" s="445" t="s">
        <v>12</v>
      </c>
      <c r="D20" s="446"/>
      <c r="E20" s="446"/>
      <c r="F20" s="446"/>
      <c r="G20" s="446"/>
      <c r="H20" s="446"/>
      <c r="I20" s="446"/>
      <c r="J20" s="446"/>
      <c r="K20" s="447"/>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85.5" customHeight="1">
      <c r="A21" s="1"/>
      <c r="B21" s="5"/>
      <c r="C21" s="442" t="s">
        <v>1518</v>
      </c>
      <c r="D21" s="443"/>
      <c r="E21" s="443"/>
      <c r="F21" s="443"/>
      <c r="G21" s="443"/>
      <c r="H21" s="443"/>
      <c r="I21" s="443"/>
      <c r="J21" s="443"/>
      <c r="K21" s="444"/>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33" customHeight="1">
      <c r="A22" s="1"/>
      <c r="B22" s="5"/>
      <c r="C22" s="431" t="s">
        <v>13</v>
      </c>
      <c r="D22" s="432"/>
      <c r="E22" s="415" t="s">
        <v>14</v>
      </c>
      <c r="F22" s="416"/>
      <c r="G22" s="416"/>
      <c r="H22" s="433" t="s">
        <v>15</v>
      </c>
      <c r="I22" s="422" t="s">
        <v>1514</v>
      </c>
      <c r="J22" s="422" t="s">
        <v>1516</v>
      </c>
      <c r="K22" s="437" t="s">
        <v>16</v>
      </c>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33" customHeight="1">
      <c r="A23" s="1"/>
      <c r="B23" s="5"/>
      <c r="C23" s="431"/>
      <c r="D23" s="432"/>
      <c r="E23" s="314" t="s">
        <v>17</v>
      </c>
      <c r="F23" s="315" t="s">
        <v>18</v>
      </c>
      <c r="G23" s="317" t="s">
        <v>19</v>
      </c>
      <c r="H23" s="434"/>
      <c r="I23" s="423"/>
      <c r="J23" s="423"/>
      <c r="K23" s="44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96.6" customHeight="1">
      <c r="A24" s="386"/>
      <c r="B24" s="5"/>
      <c r="C24" s="340">
        <v>2.1</v>
      </c>
      <c r="D24" s="254" t="s">
        <v>2082</v>
      </c>
      <c r="E24" s="231"/>
      <c r="F24" s="240" t="s">
        <v>20</v>
      </c>
      <c r="G24" s="231"/>
      <c r="H24" s="268"/>
      <c r="I24" s="255" t="str">
        <f>IF(OR(E24="x",F24="x"),"Demande supplémentaire ou annulation","")</f>
        <v>Demande supplémentaire ou annulation</v>
      </c>
      <c r="J24" s="268"/>
      <c r="K24" s="255" t="s">
        <v>1519</v>
      </c>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99.6" customHeight="1">
      <c r="A25" s="252"/>
      <c r="B25" s="5"/>
      <c r="C25" s="336">
        <v>2.2000000000000002</v>
      </c>
      <c r="D25" s="256" t="s">
        <v>2079</v>
      </c>
      <c r="E25" s="231"/>
      <c r="F25" s="240" t="s">
        <v>21</v>
      </c>
      <c r="G25" s="231"/>
      <c r="H25" s="268"/>
      <c r="I25" s="255" t="str">
        <f>IF(OR(E25="x",F25="x"),"Demande supplémentaire ou annulation","")</f>
        <v>Demande supplémentaire ou annulation</v>
      </c>
      <c r="J25" s="268"/>
      <c r="K25" s="240" t="s">
        <v>1521</v>
      </c>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99.95" customHeight="1">
      <c r="A26" s="252"/>
      <c r="B26" s="5"/>
      <c r="C26" s="336">
        <v>2.2999999999999998</v>
      </c>
      <c r="D26" s="256" t="s">
        <v>2080</v>
      </c>
      <c r="E26" s="231"/>
      <c r="F26" s="240" t="s">
        <v>22</v>
      </c>
      <c r="G26" s="231"/>
      <c r="H26" s="268"/>
      <c r="I26" s="255" t="str">
        <f>IF(OR(E26="x",F26="x"),"Demande supplémentaire ou annulation","")</f>
        <v>Demande supplémentaire ou annulation</v>
      </c>
      <c r="J26" s="268"/>
      <c r="K26" s="240" t="s">
        <v>1520</v>
      </c>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31.1" customHeight="1">
      <c r="A27" s="252"/>
      <c r="B27" s="5"/>
      <c r="C27" s="336">
        <v>2.4</v>
      </c>
      <c r="D27" s="256" t="s">
        <v>2081</v>
      </c>
      <c r="E27" s="231"/>
      <c r="F27" s="240" t="s">
        <v>23</v>
      </c>
      <c r="G27" s="231"/>
      <c r="H27" s="268"/>
      <c r="I27" s="255" t="str">
        <f>IF(OR(E27="x",F27="x"),"Demande supplémentaire ou annulation","")</f>
        <v>Demande supplémentaire ou annulation</v>
      </c>
      <c r="J27" s="268"/>
      <c r="K27" s="255" t="s">
        <v>1522</v>
      </c>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37.5" customHeight="1">
      <c r="A28" s="1"/>
      <c r="B28" s="5"/>
      <c r="C28" s="241"/>
      <c r="D28" s="257"/>
      <c r="E28" s="258"/>
      <c r="F28" s="258"/>
      <c r="G28" s="258"/>
      <c r="H28" s="252"/>
      <c r="I28" s="252"/>
      <c r="J28" s="252"/>
      <c r="K28" s="253"/>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27" customHeight="1">
      <c r="A29" s="1"/>
      <c r="B29" s="5"/>
      <c r="C29" s="445" t="s">
        <v>1525</v>
      </c>
      <c r="D29" s="446"/>
      <c r="E29" s="301"/>
      <c r="F29" s="301"/>
      <c r="G29" s="259"/>
      <c r="H29" s="260"/>
      <c r="I29" s="260"/>
      <c r="J29" s="260"/>
      <c r="K29" s="26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342.75" customHeight="1">
      <c r="A30" s="1"/>
      <c r="B30" s="5"/>
      <c r="C30" s="408" t="s">
        <v>1664</v>
      </c>
      <c r="D30" s="409"/>
      <c r="E30" s="409"/>
      <c r="F30" s="409"/>
      <c r="G30" s="409"/>
      <c r="H30" s="409"/>
      <c r="I30" s="409"/>
      <c r="J30" s="409"/>
      <c r="K30" s="410"/>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32.25" customHeight="1">
      <c r="A31" s="1"/>
      <c r="B31" s="5"/>
      <c r="C31" s="435" t="s">
        <v>24</v>
      </c>
      <c r="D31" s="436"/>
      <c r="E31" s="415" t="s">
        <v>25</v>
      </c>
      <c r="F31" s="416"/>
      <c r="G31" s="416"/>
      <c r="H31" s="437" t="s">
        <v>26</v>
      </c>
      <c r="I31" s="422" t="s">
        <v>1514</v>
      </c>
      <c r="J31" s="422" t="s">
        <v>1516</v>
      </c>
      <c r="K31" s="449" t="s">
        <v>27</v>
      </c>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28.5" customHeight="1">
      <c r="A32" s="1"/>
      <c r="B32" s="5"/>
      <c r="C32" s="435"/>
      <c r="D32" s="436"/>
      <c r="E32" s="314" t="s">
        <v>28</v>
      </c>
      <c r="F32" s="315" t="s">
        <v>29</v>
      </c>
      <c r="G32" s="316" t="s">
        <v>30</v>
      </c>
      <c r="H32" s="438"/>
      <c r="I32" s="423"/>
      <c r="J32" s="423"/>
      <c r="K32" s="450"/>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48" customHeight="1">
      <c r="B33" s="5"/>
      <c r="C33" s="341">
        <v>3.1</v>
      </c>
      <c r="D33" s="331" t="s">
        <v>1650</v>
      </c>
      <c r="E33" s="332"/>
      <c r="F33" s="332" t="s">
        <v>31</v>
      </c>
      <c r="G33" s="231"/>
      <c r="H33" s="355"/>
      <c r="I33" s="255" t="str">
        <f>IF(OR(E33="x",F33="x"),"Demande supplémentaire ou annulation","")</f>
        <v>Demande supplémentaire ou annulation</v>
      </c>
      <c r="J33" s="355"/>
      <c r="K33" s="274" t="s">
        <v>1526</v>
      </c>
    </row>
    <row r="34" spans="1:76" ht="59.45" customHeight="1">
      <c r="A34" s="1"/>
      <c r="B34" s="5"/>
      <c r="C34" s="401" t="s">
        <v>32</v>
      </c>
      <c r="D34" s="262" t="s">
        <v>1528</v>
      </c>
      <c r="E34" s="231"/>
      <c r="F34" s="332" t="s">
        <v>33</v>
      </c>
      <c r="G34" s="231"/>
      <c r="H34" s="293"/>
      <c r="I34" s="255" t="str">
        <f>IF(OR(E34="x",F34="x"),"Demande supplémentaire ou annulation","")</f>
        <v>Demande supplémentaire ou annulation</v>
      </c>
      <c r="J34" s="255"/>
      <c r="K34" s="240" t="s">
        <v>1527</v>
      </c>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48.95" customHeight="1">
      <c r="A35" s="1"/>
      <c r="B35" s="5"/>
      <c r="C35" s="398"/>
      <c r="D35" s="299" t="s">
        <v>1529</v>
      </c>
      <c r="E35" s="231"/>
      <c r="F35" s="332" t="s">
        <v>34</v>
      </c>
      <c r="G35" s="231"/>
      <c r="H35" s="362"/>
      <c r="I35" s="255" t="str">
        <f>IF(OR(E35="x",F35="x"),"Demande supplémentaire ou annulation","")</f>
        <v>Demande supplémentaire ou annulation</v>
      </c>
      <c r="J35" s="268"/>
      <c r="K35" s="240" t="s">
        <v>1527</v>
      </c>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27.75" customHeight="1">
      <c r="A36" s="1"/>
      <c r="B36" s="269"/>
      <c r="C36" s="461" t="s">
        <v>2097</v>
      </c>
      <c r="D36" s="462"/>
      <c r="E36" s="415" t="s">
        <v>14</v>
      </c>
      <c r="F36" s="416"/>
      <c r="G36" s="416"/>
      <c r="H36" s="437" t="s">
        <v>4</v>
      </c>
      <c r="I36" s="422" t="s">
        <v>1514</v>
      </c>
      <c r="J36" s="422" t="s">
        <v>1516</v>
      </c>
      <c r="K36" s="449" t="s">
        <v>27</v>
      </c>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30.75" customHeight="1">
      <c r="A37" s="1"/>
      <c r="B37" s="269"/>
      <c r="C37" s="459"/>
      <c r="D37" s="463"/>
      <c r="E37" s="314" t="s">
        <v>6</v>
      </c>
      <c r="F37" s="315" t="s">
        <v>7</v>
      </c>
      <c r="G37" s="316" t="s">
        <v>8</v>
      </c>
      <c r="H37" s="438"/>
      <c r="I37" s="423"/>
      <c r="J37" s="423"/>
      <c r="K37" s="450"/>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243" customHeight="1">
      <c r="A38" s="1"/>
      <c r="B38" s="5"/>
      <c r="C38" s="401" t="s">
        <v>1634</v>
      </c>
      <c r="D38" s="387" t="s">
        <v>2062</v>
      </c>
      <c r="E38" s="231"/>
      <c r="F38" s="332" t="s">
        <v>1635</v>
      </c>
      <c r="G38" s="231"/>
      <c r="H38" s="293"/>
      <c r="I38" s="255" t="str">
        <f>IF(OR(E38="x",F38="x"),"Demande supplémentaire ou annulation","")</f>
        <v>Demande supplémentaire ou annulation</v>
      </c>
      <c r="J38" s="255"/>
      <c r="K38" s="240"/>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34.700000000000003" customHeight="1">
      <c r="A39" s="1"/>
      <c r="B39" s="5"/>
      <c r="C39" s="398"/>
      <c r="D39" s="363" t="s">
        <v>2063</v>
      </c>
      <c r="E39" s="231"/>
      <c r="F39" s="332" t="s">
        <v>1635</v>
      </c>
      <c r="G39" s="231"/>
      <c r="H39" s="362"/>
      <c r="I39" s="255" t="str">
        <f>IF(OR(E39="x",F39="x"),"Condition ou annulation","")</f>
        <v>Condition ou annulation</v>
      </c>
      <c r="J39" s="268"/>
      <c r="K39" s="240"/>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14.6" customHeight="1">
      <c r="A40" s="1"/>
      <c r="B40" s="5"/>
      <c r="C40" s="401" t="s">
        <v>1636</v>
      </c>
      <c r="D40" s="387" t="s">
        <v>2116</v>
      </c>
      <c r="E40" s="231"/>
      <c r="F40" s="332" t="s">
        <v>1635</v>
      </c>
      <c r="G40" s="231"/>
      <c r="H40" s="293"/>
      <c r="I40" s="255" t="str">
        <f>IF(OR(E40="x",F40="x"),"Demande supplémentaire ou annulation","")</f>
        <v>Demande supplémentaire ou annulation</v>
      </c>
      <c r="J40" s="255"/>
      <c r="K40" s="240"/>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27" customHeight="1">
      <c r="A41" s="1"/>
      <c r="B41" s="5"/>
      <c r="C41" s="398"/>
      <c r="D41" s="363" t="s">
        <v>2063</v>
      </c>
      <c r="E41" s="231"/>
      <c r="F41" s="332" t="s">
        <v>1635</v>
      </c>
      <c r="G41" s="231"/>
      <c r="H41" s="362"/>
      <c r="I41" s="255" t="str">
        <f>IF(OR(E41="x",F41="x"),"Condition ou annulation","")</f>
        <v>Condition ou annulation</v>
      </c>
      <c r="J41" s="268"/>
      <c r="K41" s="240"/>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28.1" customHeight="1">
      <c r="A42" s="1"/>
      <c r="B42" s="5"/>
      <c r="C42" s="401" t="s">
        <v>1637</v>
      </c>
      <c r="D42" s="387" t="s">
        <v>2064</v>
      </c>
      <c r="E42" s="231"/>
      <c r="F42" s="332" t="s">
        <v>1635</v>
      </c>
      <c r="G42" s="231"/>
      <c r="H42" s="293"/>
      <c r="I42" s="255" t="str">
        <f>IF(OR(E42="x",F42="x"),"Demande supplémentaire ou annulation","")</f>
        <v>Demande supplémentaire ou annulation</v>
      </c>
      <c r="J42" s="255"/>
      <c r="K42" s="240"/>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36.75" customHeight="1">
      <c r="A43" s="1"/>
      <c r="B43" s="5"/>
      <c r="C43" s="398"/>
      <c r="D43" s="363" t="s">
        <v>2063</v>
      </c>
      <c r="E43" s="231"/>
      <c r="F43" s="332" t="s">
        <v>1635</v>
      </c>
      <c r="G43" s="231"/>
      <c r="H43" s="362"/>
      <c r="I43" s="255" t="str">
        <f>IF(OR(E43="x",F43="x"),"Condition ou annulation","")</f>
        <v>Condition ou annulation</v>
      </c>
      <c r="J43" s="268"/>
      <c r="K43" s="240"/>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27.75" customHeight="1">
      <c r="A44" s="1"/>
      <c r="B44" s="269"/>
      <c r="C44" s="418" t="s">
        <v>35</v>
      </c>
      <c r="D44" s="419"/>
      <c r="E44" s="426" t="s">
        <v>36</v>
      </c>
      <c r="F44" s="427"/>
      <c r="G44" s="427"/>
      <c r="H44" s="422" t="s">
        <v>37</v>
      </c>
      <c r="I44" s="422" t="s">
        <v>1514</v>
      </c>
      <c r="J44" s="422" t="s">
        <v>1516</v>
      </c>
      <c r="K44" s="406" t="s">
        <v>38</v>
      </c>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29.65" customHeight="1">
      <c r="A45" s="1"/>
      <c r="B45" s="269"/>
      <c r="C45" s="420"/>
      <c r="D45" s="421"/>
      <c r="E45" s="314" t="s">
        <v>39</v>
      </c>
      <c r="F45" s="315" t="s">
        <v>40</v>
      </c>
      <c r="G45" s="317" t="s">
        <v>41</v>
      </c>
      <c r="H45" s="423"/>
      <c r="I45" s="423"/>
      <c r="J45" s="423"/>
      <c r="K45" s="407"/>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row>
    <row r="46" spans="1:76" ht="372.6" customHeight="1">
      <c r="A46" s="1"/>
      <c r="B46" s="5"/>
      <c r="C46" s="401" t="s">
        <v>2046</v>
      </c>
      <c r="D46" s="256" t="s">
        <v>1667</v>
      </c>
      <c r="E46" s="231"/>
      <c r="F46" s="231" t="s">
        <v>42</v>
      </c>
      <c r="G46" s="231"/>
      <c r="H46" s="293"/>
      <c r="I46" s="255"/>
      <c r="J46" s="293"/>
      <c r="K46" s="395" t="s">
        <v>1530</v>
      </c>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1.25" customHeight="1">
      <c r="A47" s="1"/>
      <c r="B47" s="5"/>
      <c r="C47" s="398"/>
      <c r="D47" s="298" t="s">
        <v>43</v>
      </c>
      <c r="E47" s="231"/>
      <c r="F47" s="231" t="s">
        <v>44</v>
      </c>
      <c r="G47" s="231"/>
      <c r="H47" s="293"/>
      <c r="I47" s="255" t="str">
        <f>IF(OR(E47="x",F47="x"),"Condition ou annulation","")</f>
        <v>Condition ou annulation</v>
      </c>
      <c r="J47" s="293"/>
      <c r="K47" s="396"/>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36" customHeight="1">
      <c r="A48" s="1"/>
      <c r="B48" s="269"/>
      <c r="C48" s="418" t="s">
        <v>45</v>
      </c>
      <c r="D48" s="419"/>
      <c r="E48" s="424" t="s">
        <v>46</v>
      </c>
      <c r="F48" s="425"/>
      <c r="G48" s="425"/>
      <c r="H48" s="422" t="s">
        <v>47</v>
      </c>
      <c r="I48" s="422" t="s">
        <v>1514</v>
      </c>
      <c r="J48" s="422" t="s">
        <v>1516</v>
      </c>
      <c r="K48" s="406" t="s">
        <v>48</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30" customHeight="1">
      <c r="A49" s="1"/>
      <c r="B49" s="269"/>
      <c r="C49" s="420"/>
      <c r="D49" s="421"/>
      <c r="E49" s="314" t="s">
        <v>49</v>
      </c>
      <c r="F49" s="315" t="s">
        <v>50</v>
      </c>
      <c r="G49" s="317" t="s">
        <v>51</v>
      </c>
      <c r="H49" s="423"/>
      <c r="I49" s="423"/>
      <c r="J49" s="423"/>
      <c r="K49" s="407"/>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90.95" customHeight="1">
      <c r="A50" s="1"/>
      <c r="B50" s="5"/>
      <c r="C50" s="336" t="s">
        <v>2047</v>
      </c>
      <c r="D50" s="256" t="s">
        <v>1531</v>
      </c>
      <c r="E50" s="296" t="str">
        <f>IF(COUNTIF(E52:E53,"X")=5,"X","")</f>
        <v/>
      </c>
      <c r="F50" s="296" t="str">
        <f>IF(COUNTIF(F52:F53,"X")=1,"X","")</f>
        <v/>
      </c>
      <c r="G50" s="296" t="str">
        <f t="shared" ref="G50" si="0">IF(COUNTIF(G52:G53,"X")=1,"X","")</f>
        <v/>
      </c>
      <c r="H50" s="297"/>
      <c r="I50" s="296"/>
      <c r="J50" s="296"/>
      <c r="K50" s="266" t="s">
        <v>1530</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60.95" customHeight="1">
      <c r="A51" s="1"/>
      <c r="B51" s="5"/>
      <c r="C51" s="337" t="s">
        <v>2048</v>
      </c>
      <c r="D51" s="331" t="s">
        <v>1532</v>
      </c>
      <c r="E51" s="231"/>
      <c r="F51" s="231" t="s">
        <v>52</v>
      </c>
      <c r="G51" s="231"/>
      <c r="H51" s="268"/>
      <c r="I51" s="255" t="str">
        <f>IF(OR(E51="x",F51="x"),"Demande supplémentaire ou annulation","")</f>
        <v>Demande supplémentaire ou annulation</v>
      </c>
      <c r="J51" s="268"/>
      <c r="K51" s="271" t="s">
        <v>1530</v>
      </c>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65.45" customHeight="1">
      <c r="A52" s="310"/>
      <c r="B52" s="5"/>
      <c r="C52" s="337" t="s">
        <v>2049</v>
      </c>
      <c r="D52" s="270" t="s">
        <v>2123</v>
      </c>
      <c r="E52" s="231"/>
      <c r="F52" s="231" t="s">
        <v>53</v>
      </c>
      <c r="G52" s="231"/>
      <c r="H52" s="268"/>
      <c r="I52" s="255" t="str">
        <f>IF(OR(F52="x",G52="x"),"Annulation","")</f>
        <v>Annulation</v>
      </c>
      <c r="J52" s="268"/>
      <c r="K52" s="271" t="s">
        <v>1533</v>
      </c>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239.45" customHeight="1">
      <c r="A53" s="1"/>
      <c r="B53" s="5"/>
      <c r="C53" s="337" t="s">
        <v>2050</v>
      </c>
      <c r="D53" s="272" t="s">
        <v>2124</v>
      </c>
      <c r="E53" s="231"/>
      <c r="F53" s="231" t="s">
        <v>54</v>
      </c>
      <c r="G53" s="231"/>
      <c r="H53" s="268"/>
      <c r="I53" s="255" t="str">
        <f>IF(OR(E53="x",F53="x"),"Condition ou annulation","")</f>
        <v>Condition ou annulation</v>
      </c>
      <c r="J53" s="268"/>
      <c r="K53" s="271" t="s">
        <v>1530</v>
      </c>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24.75" customHeight="1">
      <c r="A54" s="1"/>
      <c r="B54" s="269"/>
      <c r="C54" s="418" t="s">
        <v>55</v>
      </c>
      <c r="D54" s="419"/>
      <c r="E54" s="424" t="s">
        <v>56</v>
      </c>
      <c r="F54" s="425"/>
      <c r="G54" s="425"/>
      <c r="H54" s="422" t="s">
        <v>57</v>
      </c>
      <c r="I54" s="422" t="s">
        <v>1514</v>
      </c>
      <c r="J54" s="422" t="s">
        <v>1516</v>
      </c>
      <c r="K54" s="406" t="s">
        <v>58</v>
      </c>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33.75" customHeight="1">
      <c r="A55" s="1"/>
      <c r="B55" s="269"/>
      <c r="C55" s="420"/>
      <c r="D55" s="421"/>
      <c r="E55" s="314" t="s">
        <v>59</v>
      </c>
      <c r="F55" s="315" t="s">
        <v>60</v>
      </c>
      <c r="G55" s="317" t="s">
        <v>61</v>
      </c>
      <c r="H55" s="423"/>
      <c r="I55" s="423"/>
      <c r="J55" s="423"/>
      <c r="K55" s="407"/>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40.5" customHeight="1">
      <c r="B56" s="5"/>
      <c r="C56" s="334">
        <v>3.8</v>
      </c>
      <c r="D56" s="268" t="s">
        <v>1536</v>
      </c>
      <c r="E56" s="231"/>
      <c r="F56" s="231" t="s">
        <v>62</v>
      </c>
      <c r="G56" s="231"/>
      <c r="H56" s="268" t="s">
        <v>1535</v>
      </c>
      <c r="I56" s="255" t="str">
        <f>IF(OR(F56="x",G56="x"),"Annulation","")</f>
        <v>Annulation</v>
      </c>
      <c r="J56" s="268"/>
      <c r="K56" s="274" t="s">
        <v>1534</v>
      </c>
    </row>
    <row r="57" spans="1:76" ht="339.6" customHeight="1">
      <c r="A57" s="1"/>
      <c r="B57" s="5"/>
      <c r="C57" s="454">
        <v>3.9</v>
      </c>
      <c r="D57" s="355" t="s">
        <v>1668</v>
      </c>
      <c r="E57" s="231"/>
      <c r="F57" s="231" t="s">
        <v>63</v>
      </c>
      <c r="G57" s="231"/>
      <c r="H57" s="268"/>
      <c r="I57" s="255" t="str">
        <f>IF(OR(E57="x",F57="x"),"Demande supplémentaire ou annulation","")</f>
        <v>Demande supplémentaire ou annulation</v>
      </c>
      <c r="J57" s="268"/>
      <c r="K57" s="395" t="s">
        <v>1530</v>
      </c>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row>
    <row r="58" spans="1:76" ht="42.95" customHeight="1">
      <c r="A58" s="1"/>
      <c r="B58" s="5"/>
      <c r="C58" s="455"/>
      <c r="D58" s="299" t="s">
        <v>1537</v>
      </c>
      <c r="E58" s="231"/>
      <c r="F58" s="231" t="s">
        <v>64</v>
      </c>
      <c r="G58" s="231"/>
      <c r="H58" s="268"/>
      <c r="I58" s="255" t="str">
        <f>IF(OR(E58="x",F58="x"),"Demande supplémentaire ou condition","")</f>
        <v>Demande supplémentaire ou condition</v>
      </c>
      <c r="J58" s="268"/>
      <c r="K58" s="396"/>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row>
    <row r="59" spans="1:76" ht="93.95" customHeight="1">
      <c r="A59" s="364"/>
      <c r="B59" s="5"/>
      <c r="C59" s="380">
        <v>3.1</v>
      </c>
      <c r="D59" s="311" t="s">
        <v>2125</v>
      </c>
      <c r="E59" s="231"/>
      <c r="F59" s="231" t="s">
        <v>65</v>
      </c>
      <c r="G59" s="231"/>
      <c r="H59" s="333"/>
      <c r="I59" s="255" t="str">
        <f>IF(OR(E59="x",F59="x"),"Annulation","")</f>
        <v>Annulation</v>
      </c>
      <c r="J59" s="268"/>
      <c r="K59" s="240" t="s">
        <v>1538</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row>
    <row r="60" spans="1:76" ht="209.45" customHeight="1">
      <c r="A60" s="364"/>
      <c r="B60" s="306"/>
      <c r="C60" s="452" t="s">
        <v>2051</v>
      </c>
      <c r="D60" s="270" t="s">
        <v>1651</v>
      </c>
      <c r="E60" s="231"/>
      <c r="F60" s="231" t="s">
        <v>66</v>
      </c>
      <c r="G60" s="231"/>
      <c r="H60" s="268"/>
      <c r="I60" s="255" t="str">
        <f>IF(OR(E60="x",F60="x"),"Demande supplémentaire ou annulation","")</f>
        <v>Demande supplémentaire ou annulation</v>
      </c>
      <c r="J60" s="361"/>
      <c r="K60" s="393" t="s">
        <v>1539</v>
      </c>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row>
    <row r="61" spans="1:76" ht="66.95" customHeight="1">
      <c r="A61" s="364"/>
      <c r="B61" s="5"/>
      <c r="C61" s="453"/>
      <c r="D61" s="363" t="s">
        <v>1540</v>
      </c>
      <c r="E61" s="231"/>
      <c r="F61" s="231" t="s">
        <v>67</v>
      </c>
      <c r="G61" s="231"/>
      <c r="H61" s="268"/>
      <c r="I61" s="255" t="str">
        <f>IF(OR(E61="x",F61="x"),"Demande supplémentaire ou condition","")</f>
        <v>Demande supplémentaire ou condition</v>
      </c>
      <c r="J61" s="361"/>
      <c r="K61" s="394"/>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row>
    <row r="62" spans="1:76" ht="255" customHeight="1">
      <c r="A62" s="364"/>
      <c r="B62" s="5"/>
      <c r="C62" s="452" t="s">
        <v>2052</v>
      </c>
      <c r="D62" s="343" t="s">
        <v>2044</v>
      </c>
      <c r="E62" s="231"/>
      <c r="F62" s="231" t="s">
        <v>68</v>
      </c>
      <c r="G62" s="231"/>
      <c r="H62" s="268"/>
      <c r="I62" s="255" t="str">
        <f>IF(OR(E62="x",F62="x"),"Demande supplémentaire ou annulation","")</f>
        <v>Demande supplémentaire ou annulation</v>
      </c>
      <c r="J62" s="268"/>
      <c r="K62" s="395" t="s">
        <v>1538</v>
      </c>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row>
    <row r="63" spans="1:76" ht="35.25" customHeight="1">
      <c r="A63" s="389"/>
      <c r="B63" s="5"/>
      <c r="C63" s="453"/>
      <c r="D63" s="299" t="s">
        <v>1537</v>
      </c>
      <c r="E63" s="231"/>
      <c r="F63" s="231" t="s">
        <v>69</v>
      </c>
      <c r="G63" s="231"/>
      <c r="H63" s="268"/>
      <c r="I63" s="255" t="str">
        <f>IF(OR(E63="x",F63="x"),"Demande supplémentaire ou condition","")</f>
        <v>Demande supplémentaire ou condition</v>
      </c>
      <c r="J63" s="268"/>
      <c r="K63" s="396"/>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row>
    <row r="64" spans="1:76" ht="103.5" customHeight="1">
      <c r="B64" s="5"/>
      <c r="C64" s="402">
        <v>3.11</v>
      </c>
      <c r="D64" s="268" t="s">
        <v>1652</v>
      </c>
      <c r="E64" s="231"/>
      <c r="F64" s="231" t="s">
        <v>70</v>
      </c>
      <c r="G64" s="231"/>
      <c r="H64" s="268"/>
      <c r="I64" s="255" t="str">
        <f>IF(OR(E64="x",F64="x"),"Demande supplémentaire ou annulation","")</f>
        <v>Demande supplémentaire ou annulation</v>
      </c>
      <c r="J64" s="268"/>
      <c r="K64" s="412" t="s">
        <v>71</v>
      </c>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row>
    <row r="65" spans="1:76" ht="33.75" customHeight="1">
      <c r="A65" s="306"/>
      <c r="B65" s="5"/>
      <c r="C65" s="403"/>
      <c r="D65" s="342" t="s">
        <v>72</v>
      </c>
      <c r="E65" s="231"/>
      <c r="F65" s="231" t="s">
        <v>73</v>
      </c>
      <c r="G65" s="231"/>
      <c r="H65" s="268"/>
      <c r="I65" s="255" t="str">
        <f>IF(OR(E65="x",F65="x"),"Demande supplémentaire ou condition","")</f>
        <v>Demande supplémentaire ou condition</v>
      </c>
      <c r="J65" s="268"/>
      <c r="K65" s="412"/>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row>
    <row r="66" spans="1:76" ht="26.45" customHeight="1">
      <c r="A66" s="1"/>
      <c r="B66" s="388"/>
      <c r="C66" s="428" t="s">
        <v>1541</v>
      </c>
      <c r="D66" s="419"/>
      <c r="E66" s="424" t="s">
        <v>74</v>
      </c>
      <c r="F66" s="425"/>
      <c r="G66" s="425"/>
      <c r="H66" s="422" t="s">
        <v>75</v>
      </c>
      <c r="I66" s="422" t="s">
        <v>1514</v>
      </c>
      <c r="J66" s="422" t="s">
        <v>1516</v>
      </c>
      <c r="K66" s="406" t="s">
        <v>76</v>
      </c>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row>
    <row r="67" spans="1:76" ht="33" customHeight="1">
      <c r="A67" s="1"/>
      <c r="B67" s="388"/>
      <c r="C67" s="421"/>
      <c r="D67" s="421"/>
      <c r="E67" s="314" t="s">
        <v>77</v>
      </c>
      <c r="F67" s="315" t="s">
        <v>78</v>
      </c>
      <c r="G67" s="317" t="s">
        <v>79</v>
      </c>
      <c r="H67" s="423"/>
      <c r="I67" s="423"/>
      <c r="J67" s="423"/>
      <c r="K67" s="407"/>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row>
    <row r="68" spans="1:76" ht="338.45" customHeight="1">
      <c r="A68" s="308"/>
      <c r="B68" s="5"/>
      <c r="C68" s="401" t="s">
        <v>2053</v>
      </c>
      <c r="D68" s="331" t="s">
        <v>1542</v>
      </c>
      <c r="E68" s="332"/>
      <c r="F68" s="231" t="s">
        <v>80</v>
      </c>
      <c r="G68" s="231"/>
      <c r="H68" s="333"/>
      <c r="I68" s="255" t="str">
        <f>IF(OR(E68="x",F68="x"),"Demande supplémentaire ou annulation","")</f>
        <v>Demande supplémentaire ou annulation</v>
      </c>
      <c r="J68" s="333"/>
      <c r="K68" s="395" t="s">
        <v>1527</v>
      </c>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row>
    <row r="69" spans="1:76" ht="48.75" customHeight="1">
      <c r="A69" s="308"/>
      <c r="B69" s="5"/>
      <c r="C69" s="398"/>
      <c r="D69" s="298" t="s">
        <v>1543</v>
      </c>
      <c r="E69" s="332"/>
      <c r="F69" s="231" t="s">
        <v>81</v>
      </c>
      <c r="G69" s="231"/>
      <c r="H69" s="333"/>
      <c r="I69" s="255" t="str">
        <f>IF(OR(E69="x",F69="x"),"Condition ou annulation","")</f>
        <v>Condition ou annulation</v>
      </c>
      <c r="J69" s="333"/>
      <c r="K69" s="396"/>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row>
    <row r="70" spans="1:76" ht="294.95" customHeight="1">
      <c r="A70" s="308"/>
      <c r="B70" s="5"/>
      <c r="C70" s="397" t="s">
        <v>2054</v>
      </c>
      <c r="D70" s="331" t="s">
        <v>2077</v>
      </c>
      <c r="E70" s="332"/>
      <c r="F70" s="231" t="s">
        <v>82</v>
      </c>
      <c r="G70" s="231"/>
      <c r="H70" s="356"/>
      <c r="I70" s="255" t="str">
        <f>IF(OR(E70="x",F70="x"),"Demande supplémentaire ou annulation","")</f>
        <v>Demande supplémentaire ou annulation</v>
      </c>
      <c r="J70" s="333"/>
      <c r="K70" s="412" t="s">
        <v>1527</v>
      </c>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row>
    <row r="71" spans="1:76" ht="45.75" customHeight="1">
      <c r="A71" s="308"/>
      <c r="B71" s="5"/>
      <c r="C71" s="398"/>
      <c r="D71" s="298" t="s">
        <v>1544</v>
      </c>
      <c r="E71" s="332"/>
      <c r="F71" s="231" t="s">
        <v>83</v>
      </c>
      <c r="G71" s="231"/>
      <c r="H71" s="333"/>
      <c r="I71" s="255" t="str">
        <f>IF(OR(E71="x",F71="x"),"Condition ou annulation","")</f>
        <v>Condition ou annulation</v>
      </c>
      <c r="J71" s="333"/>
      <c r="K71" s="412"/>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row>
    <row r="72" spans="1:76" ht="196.5" customHeight="1">
      <c r="A72" s="308"/>
      <c r="B72" s="5"/>
      <c r="C72" s="397" t="s">
        <v>2055</v>
      </c>
      <c r="D72" s="346" t="s">
        <v>1545</v>
      </c>
      <c r="E72" s="332"/>
      <c r="F72" s="231" t="s">
        <v>84</v>
      </c>
      <c r="G72" s="231"/>
      <c r="H72" s="333"/>
      <c r="I72" s="255" t="str">
        <f>IF(OR(E72="x",F72="x"),"Demande supplémentaire ou annulation","")</f>
        <v>Demande supplémentaire ou annulation</v>
      </c>
      <c r="J72" s="333"/>
      <c r="K72" s="412" t="s">
        <v>1527</v>
      </c>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row>
    <row r="73" spans="1:76" ht="44.45" customHeight="1">
      <c r="A73" s="308"/>
      <c r="B73" s="5"/>
      <c r="C73" s="398"/>
      <c r="D73" s="298" t="s">
        <v>1546</v>
      </c>
      <c r="E73" s="332"/>
      <c r="F73" s="231" t="s">
        <v>85</v>
      </c>
      <c r="G73" s="231"/>
      <c r="H73" s="333"/>
      <c r="I73" s="255" t="str">
        <f>IF(OR(E73="x",F73="x"),"Condition ou annulation","")</f>
        <v>Condition ou annulation</v>
      </c>
      <c r="J73" s="333"/>
      <c r="K73" s="412"/>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row>
    <row r="74" spans="1:76" ht="239.1" customHeight="1">
      <c r="A74" s="308"/>
      <c r="B74" s="5"/>
      <c r="C74" s="397" t="s">
        <v>2056</v>
      </c>
      <c r="D74" s="346" t="s">
        <v>1547</v>
      </c>
      <c r="E74" s="332"/>
      <c r="F74" s="231" t="s">
        <v>86</v>
      </c>
      <c r="G74" s="231"/>
      <c r="H74" s="333"/>
      <c r="I74" s="255" t="str">
        <f>IF(OR(E74="x",F74="x"),"Demande supplémentaire ou annulation","")</f>
        <v>Demande supplémentaire ou annulation</v>
      </c>
      <c r="J74" s="333"/>
      <c r="K74" s="395" t="s">
        <v>1527</v>
      </c>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row>
    <row r="75" spans="1:76" ht="45.75" customHeight="1">
      <c r="A75" s="308"/>
      <c r="B75" s="5"/>
      <c r="C75" s="398"/>
      <c r="D75" s="298" t="s">
        <v>1548</v>
      </c>
      <c r="E75" s="332"/>
      <c r="F75" s="231" t="s">
        <v>87</v>
      </c>
      <c r="G75" s="231"/>
      <c r="H75" s="333"/>
      <c r="I75" s="255" t="str">
        <f>IF(OR(E75="x",F75="x"),"Condition ou annulation","")</f>
        <v>Condition ou annulation</v>
      </c>
      <c r="J75" s="333"/>
      <c r="K75" s="396"/>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row>
    <row r="76" spans="1:76" ht="150.94999999999999" customHeight="1">
      <c r="A76" s="242"/>
      <c r="B76" s="5"/>
      <c r="C76" s="397" t="s">
        <v>2057</v>
      </c>
      <c r="D76" s="307" t="s">
        <v>1669</v>
      </c>
      <c r="E76" s="231"/>
      <c r="F76" s="231" t="s">
        <v>88</v>
      </c>
      <c r="G76" s="231"/>
      <c r="H76" s="333"/>
      <c r="I76" s="255" t="str">
        <f>IF(OR(E76="x",F76="x"),"Demande supplémentaire ou annulation","")</f>
        <v>Demande supplémentaire ou annulation</v>
      </c>
      <c r="J76" s="333"/>
      <c r="K76" s="412" t="s">
        <v>1527</v>
      </c>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row>
    <row r="77" spans="1:76" ht="59.45" customHeight="1">
      <c r="A77" s="1"/>
      <c r="B77" s="5"/>
      <c r="C77" s="398"/>
      <c r="D77" s="298" t="s">
        <v>89</v>
      </c>
      <c r="E77" s="231"/>
      <c r="F77" s="231" t="s">
        <v>90</v>
      </c>
      <c r="G77" s="231"/>
      <c r="H77" s="333"/>
      <c r="I77" s="255" t="str">
        <f>IF(OR(E77="x",F77="x"),"Condition ou annulation","")</f>
        <v>Condition ou annulation</v>
      </c>
      <c r="J77" s="333"/>
      <c r="K77" s="412"/>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row>
    <row r="78" spans="1:76" ht="201" customHeight="1">
      <c r="A78" s="1"/>
      <c r="B78" s="5"/>
      <c r="C78" s="397" t="s">
        <v>2058</v>
      </c>
      <c r="D78" s="256" t="s">
        <v>1670</v>
      </c>
      <c r="E78" s="231"/>
      <c r="F78" s="231" t="s">
        <v>91</v>
      </c>
      <c r="G78" s="231"/>
      <c r="H78" s="357"/>
      <c r="I78" s="255" t="str">
        <f>IF(OR(E78="x",F78="x"),"Demande supplémentaire ou annulation","")</f>
        <v>Demande supplémentaire ou annulation</v>
      </c>
      <c r="J78" s="357"/>
      <c r="K78" s="451" t="s">
        <v>1549</v>
      </c>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row>
    <row r="79" spans="1:76" ht="38.450000000000003" customHeight="1">
      <c r="A79" s="1"/>
      <c r="B79" s="5"/>
      <c r="C79" s="398"/>
      <c r="D79" s="298" t="s">
        <v>2114</v>
      </c>
      <c r="E79" s="231"/>
      <c r="F79" s="231" t="s">
        <v>92</v>
      </c>
      <c r="G79" s="231"/>
      <c r="H79" s="357"/>
      <c r="I79" s="255" t="str">
        <f>IF(OR(E79="x",F79="x"),"Condition ou annulation","")</f>
        <v>Condition ou annulation</v>
      </c>
      <c r="J79" s="357"/>
      <c r="K79" s="45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row>
    <row r="80" spans="1:76" ht="128.44999999999999" customHeight="1">
      <c r="A80" s="1"/>
      <c r="B80" s="5"/>
      <c r="C80" s="399">
        <v>3.18</v>
      </c>
      <c r="D80" s="256" t="s">
        <v>2098</v>
      </c>
      <c r="E80" s="231"/>
      <c r="F80" s="231" t="s">
        <v>1635</v>
      </c>
      <c r="G80" s="231"/>
      <c r="H80" s="357"/>
      <c r="I80" s="255" t="str">
        <f>IF(OR(E80="x",F80="x"),"Demande supplémentaire ou annulation","")</f>
        <v>Demande supplémentaire ou annulation</v>
      </c>
      <c r="J80" s="357"/>
      <c r="K80" s="255"/>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row>
    <row r="81" spans="1:76" ht="38.450000000000003" customHeight="1">
      <c r="A81" s="1"/>
      <c r="B81" s="5"/>
      <c r="C81" s="400"/>
      <c r="D81" s="298" t="s">
        <v>2114</v>
      </c>
      <c r="E81" s="231"/>
      <c r="F81" s="231" t="s">
        <v>1635</v>
      </c>
      <c r="G81" s="231"/>
      <c r="H81" s="357"/>
      <c r="I81" s="255" t="str">
        <f>IF(OR(E81="x",F81="x"),"Condition ou annulation","")</f>
        <v>Condition ou annulation</v>
      </c>
      <c r="J81" s="357"/>
      <c r="K81" s="255"/>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row>
    <row r="82" spans="1:76" ht="107.45" customHeight="1">
      <c r="A82" s="1"/>
      <c r="B82" s="5"/>
      <c r="C82" s="399">
        <v>3.19</v>
      </c>
      <c r="D82" s="256" t="s">
        <v>1671</v>
      </c>
      <c r="E82" s="231"/>
      <c r="F82" s="231" t="s">
        <v>93</v>
      </c>
      <c r="G82" s="231"/>
      <c r="H82" s="268"/>
      <c r="I82" s="255" t="str">
        <f>IF(OR(E82="x",F82="x"),"Demande supplémentaire ou annulation","")</f>
        <v>Demande supplémentaire ou annulation</v>
      </c>
      <c r="J82" s="268"/>
      <c r="K82" s="412" t="s">
        <v>1550</v>
      </c>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row>
    <row r="83" spans="1:76" ht="42.75" customHeight="1">
      <c r="A83" s="1"/>
      <c r="B83" s="5"/>
      <c r="C83" s="400"/>
      <c r="D83" s="298" t="s">
        <v>94</v>
      </c>
      <c r="E83" s="231"/>
      <c r="F83" s="231" t="s">
        <v>95</v>
      </c>
      <c r="G83" s="231"/>
      <c r="H83" s="268"/>
      <c r="I83" s="255" t="str">
        <f>IF(OR(E83="x",F83="x"),"Condition ou annulation","")</f>
        <v>Condition ou annulation</v>
      </c>
      <c r="J83" s="268"/>
      <c r="K83" s="412"/>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row>
    <row r="84" spans="1:76" ht="206.45" customHeight="1">
      <c r="A84" s="1"/>
      <c r="B84" s="5"/>
      <c r="C84" s="336" t="s">
        <v>2059</v>
      </c>
      <c r="D84" s="256" t="s">
        <v>1551</v>
      </c>
      <c r="E84" s="231"/>
      <c r="F84" s="231" t="s">
        <v>96</v>
      </c>
      <c r="G84" s="231"/>
      <c r="H84" s="333"/>
      <c r="I84" s="255" t="str">
        <f>IF(OR(E84="x",F84="x"),"Condition ou annulation","")</f>
        <v>Condition ou annulation</v>
      </c>
      <c r="J84" s="333"/>
      <c r="K84" s="240" t="s">
        <v>1527</v>
      </c>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row>
    <row r="85" spans="1:76" ht="34.5" customHeight="1">
      <c r="A85" s="1"/>
      <c r="B85" s="313"/>
      <c r="C85" s="418" t="s">
        <v>1552</v>
      </c>
      <c r="D85" s="428"/>
      <c r="E85" s="426" t="s">
        <v>97</v>
      </c>
      <c r="F85" s="427"/>
      <c r="G85" s="427"/>
      <c r="H85" s="422" t="s">
        <v>98</v>
      </c>
      <c r="I85" s="422" t="s">
        <v>1514</v>
      </c>
      <c r="J85" s="422" t="s">
        <v>1516</v>
      </c>
      <c r="K85" s="406" t="s">
        <v>99</v>
      </c>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row>
    <row r="86" spans="1:76" ht="35.450000000000003" customHeight="1">
      <c r="A86" s="1"/>
      <c r="B86" s="313"/>
      <c r="C86" s="429"/>
      <c r="D86" s="430"/>
      <c r="E86" s="314" t="s">
        <v>100</v>
      </c>
      <c r="F86" s="315" t="s">
        <v>101</v>
      </c>
      <c r="G86" s="317" t="s">
        <v>102</v>
      </c>
      <c r="H86" s="423"/>
      <c r="I86" s="423"/>
      <c r="J86" s="423"/>
      <c r="K86" s="407"/>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row>
    <row r="87" spans="1:76" ht="119.25" customHeight="1">
      <c r="A87" s="1"/>
      <c r="B87" s="313"/>
      <c r="C87" s="336" t="s">
        <v>2099</v>
      </c>
      <c r="D87" s="292" t="s">
        <v>2113</v>
      </c>
      <c r="E87" s="296"/>
      <c r="F87" s="296"/>
      <c r="G87" s="296"/>
      <c r="H87" s="297"/>
      <c r="I87" s="296"/>
      <c r="J87" s="296"/>
      <c r="K87" s="266" t="s">
        <v>1530</v>
      </c>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row>
    <row r="88" spans="1:76" ht="77.25" customHeight="1">
      <c r="A88" s="1"/>
      <c r="B88" s="313"/>
      <c r="C88" s="404" t="s">
        <v>2100</v>
      </c>
      <c r="D88" s="256" t="s">
        <v>1553</v>
      </c>
      <c r="E88" s="231"/>
      <c r="F88" s="231" t="s">
        <v>103</v>
      </c>
      <c r="G88" s="231"/>
      <c r="H88" s="268"/>
      <c r="I88" s="255" t="str">
        <f>IF(OR(E88="x",F88="x"),"Demande supplémentaire ou annulation","")</f>
        <v>Demande supplémentaire ou annulation</v>
      </c>
      <c r="J88" s="255"/>
      <c r="K88" s="395" t="s">
        <v>1530</v>
      </c>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row>
    <row r="89" spans="1:76" ht="44.25" customHeight="1">
      <c r="A89" s="1"/>
      <c r="B89" s="269"/>
      <c r="C89" s="405"/>
      <c r="D89" s="349" t="s">
        <v>104</v>
      </c>
      <c r="E89" s="231"/>
      <c r="F89" s="231" t="s">
        <v>105</v>
      </c>
      <c r="G89" s="231"/>
      <c r="H89" s="268"/>
      <c r="I89" s="255" t="str">
        <f>IF(OR(E89="x",F89="x"),"Condition ou annulation","")</f>
        <v>Condition ou annulation</v>
      </c>
      <c r="J89" s="255"/>
      <c r="K89" s="396"/>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row>
    <row r="90" spans="1:76" ht="111.95" customHeight="1">
      <c r="A90" s="1"/>
      <c r="B90" s="269"/>
      <c r="C90" s="337" t="s">
        <v>2101</v>
      </c>
      <c r="D90" s="270" t="s">
        <v>1554</v>
      </c>
      <c r="E90" s="231"/>
      <c r="F90" s="231" t="s">
        <v>106</v>
      </c>
      <c r="G90" s="231"/>
      <c r="H90" s="268"/>
      <c r="I90" s="255" t="str">
        <f>IF(OR(E90="x",F90="x"),"Condition ou annulation","")</f>
        <v>Condition ou annulation</v>
      </c>
      <c r="J90" s="255"/>
      <c r="K90" s="240" t="s">
        <v>1530</v>
      </c>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row>
    <row r="91" spans="1:76" ht="75.75" customHeight="1">
      <c r="A91" s="1"/>
      <c r="B91" s="269"/>
      <c r="C91" s="337" t="s">
        <v>2102</v>
      </c>
      <c r="D91" s="256" t="s">
        <v>1555</v>
      </c>
      <c r="E91" s="231"/>
      <c r="F91" s="231" t="s">
        <v>107</v>
      </c>
      <c r="G91" s="231"/>
      <c r="H91" s="268"/>
      <c r="I91" s="255" t="str">
        <f>IF(OR(E91="x",F91="x"),"Condition ou annulation","")</f>
        <v>Condition ou annulation</v>
      </c>
      <c r="J91" s="255"/>
      <c r="K91" s="240" t="s">
        <v>1530</v>
      </c>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row>
    <row r="92" spans="1:76" ht="327" customHeight="1">
      <c r="A92" s="1"/>
      <c r="B92" s="269"/>
      <c r="C92" s="337" t="s">
        <v>2103</v>
      </c>
      <c r="D92" s="256" t="s">
        <v>2060</v>
      </c>
      <c r="E92" s="231"/>
      <c r="F92" s="231" t="s">
        <v>108</v>
      </c>
      <c r="G92" s="231"/>
      <c r="H92" s="268"/>
      <c r="I92" s="255" t="str">
        <f>IF(OR(E92="x",F92="x"),"Condition ou annulation","")</f>
        <v>Condition ou annulation</v>
      </c>
      <c r="J92" s="255"/>
      <c r="K92" s="240" t="s">
        <v>1530</v>
      </c>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row>
    <row r="93" spans="1:76" ht="122.45" customHeight="1">
      <c r="A93" s="242"/>
      <c r="B93" s="269"/>
      <c r="C93" s="337" t="s">
        <v>2104</v>
      </c>
      <c r="D93" s="256" t="s">
        <v>1557</v>
      </c>
      <c r="E93" s="231"/>
      <c r="F93" s="231" t="s">
        <v>109</v>
      </c>
      <c r="G93" s="231"/>
      <c r="H93" s="268"/>
      <c r="I93" s="255" t="str">
        <f>IF(OR(E93="x",F93="x"),"Annulation","")</f>
        <v>Annulation</v>
      </c>
      <c r="J93" s="255"/>
      <c r="K93" s="395" t="s">
        <v>1530</v>
      </c>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row>
    <row r="94" spans="1:76" ht="54" customHeight="1">
      <c r="A94" s="1"/>
      <c r="B94" s="269"/>
      <c r="C94" s="337" t="s">
        <v>2105</v>
      </c>
      <c r="D94" s="256" t="s">
        <v>1556</v>
      </c>
      <c r="E94" s="231"/>
      <c r="F94" s="231" t="s">
        <v>110</v>
      </c>
      <c r="G94" s="231"/>
      <c r="H94" s="293"/>
      <c r="I94" s="255" t="str">
        <f>IF(OR(E94="x",F94="x"),"Annulation","")</f>
        <v>Annulation</v>
      </c>
      <c r="J94" s="255"/>
      <c r="K94" s="396"/>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row>
    <row r="95" spans="1:76" ht="199.5" customHeight="1">
      <c r="A95" s="1"/>
      <c r="B95" s="269"/>
      <c r="C95" s="404" t="s">
        <v>2106</v>
      </c>
      <c r="D95" s="331" t="s">
        <v>2061</v>
      </c>
      <c r="E95" s="231"/>
      <c r="F95" s="231" t="s">
        <v>111</v>
      </c>
      <c r="G95" s="231"/>
      <c r="H95" s="293"/>
      <c r="I95" s="255" t="str">
        <f>IF(OR(E95="x",F95="x"),"Demande supplémentaire ou annulation","")</f>
        <v>Demande supplémentaire ou annulation</v>
      </c>
      <c r="J95" s="255"/>
      <c r="K95" s="395" t="s">
        <v>1530</v>
      </c>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row>
    <row r="96" spans="1:76" ht="40.5" customHeight="1">
      <c r="A96" s="1"/>
      <c r="B96" s="269"/>
      <c r="C96" s="405"/>
      <c r="D96" s="349" t="s">
        <v>112</v>
      </c>
      <c r="E96" s="231"/>
      <c r="F96" s="231" t="s">
        <v>113</v>
      </c>
      <c r="G96" s="231"/>
      <c r="H96" s="293"/>
      <c r="I96" s="255" t="str">
        <f>IF(OR(E96="x",F96="x"),"Condition ou annulation","")</f>
        <v>Condition ou annulation</v>
      </c>
      <c r="J96" s="255"/>
      <c r="K96" s="396"/>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row>
    <row r="97" spans="1:76" ht="36.75" customHeight="1">
      <c r="A97" s="1"/>
      <c r="B97" s="5"/>
      <c r="C97" s="418" t="s">
        <v>114</v>
      </c>
      <c r="D97" s="419"/>
      <c r="E97" s="426" t="s">
        <v>115</v>
      </c>
      <c r="F97" s="427"/>
      <c r="G97" s="427"/>
      <c r="H97" s="422" t="s">
        <v>116</v>
      </c>
      <c r="I97" s="422" t="s">
        <v>1514</v>
      </c>
      <c r="J97" s="422" t="s">
        <v>1516</v>
      </c>
      <c r="K97" s="406" t="s">
        <v>117</v>
      </c>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row>
    <row r="98" spans="1:76" ht="36.75" customHeight="1">
      <c r="A98" s="1"/>
      <c r="B98" s="5"/>
      <c r="C98" s="420"/>
      <c r="D98" s="421"/>
      <c r="E98" s="314" t="s">
        <v>118</v>
      </c>
      <c r="F98" s="315" t="s">
        <v>119</v>
      </c>
      <c r="G98" s="317" t="s">
        <v>120</v>
      </c>
      <c r="H98" s="423"/>
      <c r="I98" s="423"/>
      <c r="J98" s="423"/>
      <c r="K98" s="407"/>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row>
    <row r="99" spans="1:76" ht="36.950000000000003" customHeight="1">
      <c r="A99" s="1"/>
      <c r="B99" s="5"/>
      <c r="C99" s="341">
        <v>3.22</v>
      </c>
      <c r="D99" s="331" t="s">
        <v>121</v>
      </c>
      <c r="E99" s="231"/>
      <c r="F99" s="231" t="s">
        <v>122</v>
      </c>
      <c r="G99" s="231"/>
      <c r="H99" s="268"/>
      <c r="I99" s="255" t="str">
        <f>IF(OR(E99="x",F99="x"),"Demande supplémentaire ou annulation","")</f>
        <v>Demande supplémentaire ou annulation</v>
      </c>
      <c r="J99" s="268"/>
      <c r="K99" s="240" t="s">
        <v>1558</v>
      </c>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row>
    <row r="100" spans="1:76" ht="156.94999999999999" customHeight="1">
      <c r="A100" s="390"/>
      <c r="B100" s="313"/>
      <c r="C100" s="336" t="s">
        <v>2107</v>
      </c>
      <c r="D100" s="263" t="s">
        <v>2112</v>
      </c>
      <c r="E100" s="296"/>
      <c r="F100" s="296"/>
      <c r="G100" s="296"/>
      <c r="H100" s="296"/>
      <c r="I100" s="296"/>
      <c r="J100" s="296"/>
      <c r="K100" s="266" t="s">
        <v>1558</v>
      </c>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row>
    <row r="101" spans="1:76" ht="195.6" customHeight="1">
      <c r="A101" s="306"/>
      <c r="B101" s="313"/>
      <c r="C101" s="338" t="s">
        <v>2111</v>
      </c>
      <c r="D101" s="270" t="s">
        <v>1600</v>
      </c>
      <c r="E101" s="240"/>
      <c r="F101" s="240" t="s">
        <v>123</v>
      </c>
      <c r="G101" s="231"/>
      <c r="H101" s="358"/>
      <c r="I101" s="255" t="str">
        <f>IF(OR(E101="x",F101="x"),"Demande supplémentaire ou annulation","")</f>
        <v>Demande supplémentaire ou annulation</v>
      </c>
      <c r="J101" s="255"/>
      <c r="K101" s="240" t="s">
        <v>1558</v>
      </c>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row>
    <row r="102" spans="1:76" ht="47.45" customHeight="1">
      <c r="A102" s="1"/>
      <c r="B102" s="313"/>
      <c r="C102" s="335"/>
      <c r="D102" s="349" t="s">
        <v>124</v>
      </c>
      <c r="E102" s="240"/>
      <c r="F102" s="240" t="s">
        <v>125</v>
      </c>
      <c r="G102" s="231"/>
      <c r="H102" s="358"/>
      <c r="I102" s="255" t="str">
        <f>IF(OR(E102="x",F102="x"),"Condition ou annulation","")</f>
        <v>Condition ou annulation</v>
      </c>
      <c r="J102" s="255"/>
      <c r="K102" s="240" t="s">
        <v>1558</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row>
    <row r="103" spans="1:76" s="139" customFormat="1" ht="123.95" customHeight="1">
      <c r="A103" s="264"/>
      <c r="B103" s="313"/>
      <c r="C103" s="338" t="s">
        <v>2108</v>
      </c>
      <c r="D103" s="270" t="s">
        <v>2126</v>
      </c>
      <c r="E103" s="230"/>
      <c r="F103" s="230" t="s">
        <v>129</v>
      </c>
      <c r="G103" s="231"/>
      <c r="H103" s="267"/>
      <c r="I103" s="255" t="str">
        <f>IF(OR(E103="x",F103="x"),"Condition ou annulation","")</f>
        <v>Condition ou annulation</v>
      </c>
      <c r="J103" s="255"/>
      <c r="K103" s="240" t="s">
        <v>1558</v>
      </c>
      <c r="L103" s="264"/>
      <c r="M103" s="264"/>
      <c r="N103" s="264"/>
      <c r="O103" s="264"/>
      <c r="P103" s="264"/>
      <c r="Q103" s="264"/>
      <c r="R103" s="264"/>
      <c r="S103" s="264"/>
      <c r="T103" s="264"/>
      <c r="U103" s="264"/>
      <c r="V103" s="264"/>
      <c r="W103" s="264"/>
      <c r="X103" s="264"/>
      <c r="Y103" s="264"/>
      <c r="Z103" s="264"/>
      <c r="AA103" s="264"/>
      <c r="AB103" s="264"/>
      <c r="AC103" s="264"/>
      <c r="AD103" s="264"/>
      <c r="AE103" s="264"/>
      <c r="AF103" s="264"/>
      <c r="AG103" s="264"/>
      <c r="AH103" s="264"/>
      <c r="AI103" s="264"/>
      <c r="AJ103" s="264"/>
      <c r="AK103" s="264"/>
      <c r="AL103" s="264"/>
      <c r="AM103" s="264"/>
      <c r="AN103" s="264"/>
      <c r="AO103" s="264"/>
      <c r="AP103" s="264"/>
      <c r="AQ103" s="264"/>
      <c r="AR103" s="264"/>
      <c r="AS103" s="264"/>
      <c r="AT103" s="264"/>
      <c r="AU103" s="264"/>
      <c r="AV103" s="264"/>
      <c r="AW103" s="264"/>
      <c r="AX103" s="264"/>
      <c r="AY103" s="264"/>
      <c r="AZ103" s="264"/>
      <c r="BA103" s="264"/>
      <c r="BB103" s="264"/>
      <c r="BC103" s="264"/>
      <c r="BD103" s="264"/>
      <c r="BE103" s="264"/>
      <c r="BF103" s="264"/>
      <c r="BG103" s="264"/>
      <c r="BH103" s="264"/>
      <c r="BI103" s="264"/>
      <c r="BJ103" s="264"/>
      <c r="BK103" s="264"/>
      <c r="BL103" s="264"/>
      <c r="BM103" s="264"/>
      <c r="BN103" s="264"/>
      <c r="BO103" s="264"/>
      <c r="BP103" s="264"/>
      <c r="BQ103" s="264"/>
      <c r="BR103" s="264"/>
      <c r="BS103" s="264"/>
      <c r="BT103" s="264"/>
      <c r="BU103" s="264"/>
      <c r="BV103" s="264"/>
      <c r="BW103" s="264"/>
      <c r="BX103" s="264"/>
    </row>
    <row r="104" spans="1:76" s="139" customFormat="1" ht="74.099999999999994" customHeight="1">
      <c r="A104" s="264"/>
      <c r="B104" s="269"/>
      <c r="C104" s="338" t="s">
        <v>2109</v>
      </c>
      <c r="D104" s="256" t="s">
        <v>2127</v>
      </c>
      <c r="E104" s="230"/>
      <c r="F104" s="230" t="s">
        <v>126</v>
      </c>
      <c r="G104" s="231"/>
      <c r="H104" s="267"/>
      <c r="I104" s="255" t="str">
        <f>IF(OR(E104="x",F104="x"),"Condition ou annulation","")</f>
        <v>Condition ou annulation</v>
      </c>
      <c r="J104" s="255"/>
      <c r="K104" s="240"/>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4"/>
      <c r="AK104" s="264"/>
      <c r="AL104" s="264"/>
      <c r="AM104" s="264"/>
      <c r="AN104" s="264"/>
      <c r="AO104" s="264"/>
      <c r="AP104" s="264"/>
      <c r="AQ104" s="264"/>
      <c r="AR104" s="264"/>
      <c r="AS104" s="264"/>
      <c r="AT104" s="264"/>
      <c r="AU104" s="264"/>
      <c r="AV104" s="264"/>
      <c r="AW104" s="264"/>
      <c r="AX104" s="264"/>
      <c r="AY104" s="264"/>
      <c r="AZ104" s="264"/>
      <c r="BA104" s="264"/>
      <c r="BB104" s="264"/>
      <c r="BC104" s="264"/>
      <c r="BD104" s="264"/>
      <c r="BE104" s="264"/>
      <c r="BF104" s="264"/>
      <c r="BG104" s="264"/>
      <c r="BH104" s="264"/>
      <c r="BI104" s="264"/>
      <c r="BJ104" s="264"/>
      <c r="BK104" s="264"/>
      <c r="BL104" s="264"/>
      <c r="BM104" s="264"/>
      <c r="BN104" s="264"/>
      <c r="BO104" s="264"/>
      <c r="BP104" s="264"/>
      <c r="BQ104" s="264"/>
      <c r="BR104" s="264"/>
      <c r="BS104" s="264"/>
      <c r="BT104" s="264"/>
      <c r="BU104" s="264"/>
      <c r="BV104" s="264"/>
      <c r="BW104" s="264"/>
      <c r="BX104" s="264"/>
    </row>
    <row r="105" spans="1:76" s="139" customFormat="1" ht="80.099999999999994" customHeight="1">
      <c r="A105" s="264"/>
      <c r="B105" s="313"/>
      <c r="C105" s="404" t="s">
        <v>2110</v>
      </c>
      <c r="D105" s="270" t="s">
        <v>1598</v>
      </c>
      <c r="E105" s="230"/>
      <c r="F105" s="230" t="s">
        <v>126</v>
      </c>
      <c r="G105" s="231"/>
      <c r="H105" s="265"/>
      <c r="I105" s="255" t="str">
        <f>IF(OR(E105="x",F105="x"),"Demande supplémentaire ou annulation","")</f>
        <v>Demande supplémentaire ou annulation</v>
      </c>
      <c r="J105" s="255"/>
      <c r="K105" s="240" t="s">
        <v>1558</v>
      </c>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c r="AK105" s="264"/>
      <c r="AL105" s="264"/>
      <c r="AM105" s="264"/>
      <c r="AN105" s="264"/>
      <c r="AO105" s="264"/>
      <c r="AP105" s="264"/>
      <c r="AQ105" s="264"/>
      <c r="AR105" s="264"/>
      <c r="AS105" s="264"/>
      <c r="AT105" s="264"/>
      <c r="AU105" s="264"/>
      <c r="AV105" s="264"/>
      <c r="AW105" s="264"/>
      <c r="AX105" s="264"/>
      <c r="AY105" s="264"/>
      <c r="AZ105" s="264"/>
      <c r="BA105" s="264"/>
      <c r="BB105" s="264"/>
      <c r="BC105" s="264"/>
      <c r="BD105" s="264"/>
      <c r="BE105" s="264"/>
      <c r="BF105" s="264"/>
      <c r="BG105" s="264"/>
      <c r="BH105" s="264"/>
      <c r="BI105" s="264"/>
      <c r="BJ105" s="264"/>
      <c r="BK105" s="264"/>
      <c r="BL105" s="264"/>
      <c r="BM105" s="264"/>
      <c r="BN105" s="264"/>
      <c r="BO105" s="264"/>
      <c r="BP105" s="264"/>
      <c r="BQ105" s="264"/>
      <c r="BR105" s="264"/>
      <c r="BS105" s="264"/>
      <c r="BT105" s="264"/>
      <c r="BU105" s="264"/>
      <c r="BV105" s="264"/>
      <c r="BW105" s="264"/>
      <c r="BX105" s="264"/>
    </row>
    <row r="106" spans="1:76" s="139" customFormat="1" ht="36.75" customHeight="1">
      <c r="A106" s="264"/>
      <c r="B106" s="313"/>
      <c r="C106" s="405"/>
      <c r="D106" s="349" t="s">
        <v>127</v>
      </c>
      <c r="E106" s="230"/>
      <c r="F106" s="230" t="s">
        <v>128</v>
      </c>
      <c r="G106" s="231"/>
      <c r="H106" s="265"/>
      <c r="I106" s="255" t="str">
        <f>IF(OR(E106="x",F106="x"),"Condition ou annulation","")</f>
        <v>Condition ou annulation</v>
      </c>
      <c r="J106" s="255"/>
      <c r="K106" s="240" t="s">
        <v>1558</v>
      </c>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64"/>
      <c r="AV106" s="264"/>
      <c r="AW106" s="264"/>
      <c r="AX106" s="264"/>
      <c r="AY106" s="264"/>
      <c r="AZ106" s="264"/>
      <c r="BA106" s="264"/>
      <c r="BB106" s="264"/>
      <c r="BC106" s="264"/>
      <c r="BD106" s="264"/>
      <c r="BE106" s="264"/>
      <c r="BF106" s="264"/>
      <c r="BG106" s="264"/>
      <c r="BH106" s="264"/>
      <c r="BI106" s="264"/>
      <c r="BJ106" s="264"/>
      <c r="BK106" s="264"/>
      <c r="BL106" s="264"/>
      <c r="BM106" s="264"/>
      <c r="BN106" s="264"/>
      <c r="BO106" s="264"/>
      <c r="BP106" s="264"/>
      <c r="BQ106" s="264"/>
      <c r="BR106" s="264"/>
      <c r="BS106" s="264"/>
      <c r="BT106" s="264"/>
      <c r="BU106" s="264"/>
      <c r="BV106" s="264"/>
      <c r="BW106" s="264"/>
      <c r="BX106" s="264"/>
    </row>
    <row r="107" spans="1:76" ht="108.95" customHeight="1">
      <c r="A107" s="1"/>
      <c r="B107" s="5"/>
      <c r="C107" s="352">
        <v>3.24</v>
      </c>
      <c r="D107" s="256" t="s">
        <v>1602</v>
      </c>
      <c r="E107" s="231"/>
      <c r="F107" s="231" t="s">
        <v>130</v>
      </c>
      <c r="G107" s="231"/>
      <c r="H107" s="359"/>
      <c r="I107" s="255" t="str">
        <f>IF(OR(E107="x",F107="x"),"Annulation","")</f>
        <v>Annulation</v>
      </c>
      <c r="J107" s="359"/>
      <c r="K107" s="240" t="s">
        <v>1599</v>
      </c>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row>
    <row r="108" spans="1:76" ht="125.45" customHeight="1">
      <c r="A108" s="1"/>
      <c r="B108" s="5"/>
      <c r="C108" s="352">
        <v>3.25</v>
      </c>
      <c r="D108" s="312" t="s">
        <v>1616</v>
      </c>
      <c r="E108" s="231"/>
      <c r="F108" s="231" t="s">
        <v>131</v>
      </c>
      <c r="G108" s="231"/>
      <c r="H108" s="359"/>
      <c r="I108" s="255" t="str">
        <f>IF(OR(E108="x",F108="x"),"Annulation","")</f>
        <v>Annulation</v>
      </c>
      <c r="J108" s="359"/>
      <c r="K108" s="240" t="s">
        <v>1601</v>
      </c>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row>
    <row r="109" spans="1:76" ht="119.45" customHeight="1">
      <c r="A109" s="1"/>
      <c r="B109" s="5"/>
      <c r="C109" s="366">
        <v>3.26</v>
      </c>
      <c r="D109" s="256" t="s">
        <v>1604</v>
      </c>
      <c r="E109" s="231"/>
      <c r="F109" s="231" t="s">
        <v>132</v>
      </c>
      <c r="G109" s="231"/>
      <c r="H109" s="359"/>
      <c r="I109" s="255" t="str">
        <f>IF(OR(E109="x",F109="x"),"Demande supplémentaire ou annulation","")</f>
        <v>Demande supplémentaire ou annulation</v>
      </c>
      <c r="J109" s="359"/>
      <c r="K109" s="255" t="s">
        <v>1603</v>
      </c>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row>
    <row r="110" spans="1:76" s="1" customFormat="1" ht="37.5" customHeight="1">
      <c r="B110" s="5"/>
      <c r="C110" s="241"/>
      <c r="E110" s="300"/>
      <c r="F110" s="300"/>
      <c r="H110" s="242"/>
      <c r="I110" s="242"/>
      <c r="J110" s="242"/>
      <c r="K110" s="9"/>
    </row>
    <row r="111" spans="1:76" ht="37.5" customHeight="1">
      <c r="A111" s="275"/>
      <c r="B111" s="5"/>
      <c r="C111" s="243" t="s">
        <v>1605</v>
      </c>
      <c r="D111" s="244"/>
      <c r="E111" s="302"/>
      <c r="F111" s="301"/>
      <c r="G111" s="259"/>
      <c r="H111" s="260"/>
      <c r="I111" s="260"/>
      <c r="J111" s="260"/>
      <c r="K111" s="26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row>
    <row r="112" spans="1:76" ht="68.25" customHeight="1">
      <c r="A112" s="1"/>
      <c r="B112" s="5"/>
      <c r="C112" s="408" t="s">
        <v>1606</v>
      </c>
      <c r="D112" s="409"/>
      <c r="E112" s="409"/>
      <c r="F112" s="409"/>
      <c r="G112" s="409"/>
      <c r="H112" s="409"/>
      <c r="I112" s="409"/>
      <c r="J112" s="409"/>
      <c r="K112" s="410"/>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row>
    <row r="113" spans="1:76" ht="27.75" customHeight="1">
      <c r="A113" s="1"/>
      <c r="B113" s="5"/>
      <c r="C113" s="457" t="s">
        <v>1607</v>
      </c>
      <c r="D113" s="436"/>
      <c r="E113" s="415" t="s">
        <v>133</v>
      </c>
      <c r="F113" s="416"/>
      <c r="G113" s="417"/>
      <c r="H113" s="433" t="s">
        <v>134</v>
      </c>
      <c r="I113" s="422" t="s">
        <v>1514</v>
      </c>
      <c r="J113" s="422" t="s">
        <v>1516</v>
      </c>
      <c r="K113" s="437" t="s">
        <v>135</v>
      </c>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row>
    <row r="114" spans="1:76" ht="33" customHeight="1">
      <c r="A114" s="1"/>
      <c r="B114" s="5"/>
      <c r="C114" s="457"/>
      <c r="D114" s="436"/>
      <c r="E114" s="314" t="s">
        <v>136</v>
      </c>
      <c r="F114" s="315" t="s">
        <v>137</v>
      </c>
      <c r="G114" s="315" t="s">
        <v>138</v>
      </c>
      <c r="H114" s="434"/>
      <c r="I114" s="423"/>
      <c r="J114" s="423"/>
      <c r="K114" s="438"/>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row>
    <row r="115" spans="1:76" ht="54.75" customHeight="1">
      <c r="A115" s="1"/>
      <c r="B115" s="5"/>
      <c r="C115" s="413">
        <v>4.0999999999999996</v>
      </c>
      <c r="D115" s="256" t="s">
        <v>1611</v>
      </c>
      <c r="E115" s="231"/>
      <c r="F115" s="231" t="s">
        <v>139</v>
      </c>
      <c r="G115" s="231"/>
      <c r="H115" s="268"/>
      <c r="I115" s="255" t="str">
        <f>IF(OR(E115="x",F115="x"),"Annulation","")</f>
        <v>Annulation</v>
      </c>
      <c r="J115" s="268"/>
      <c r="K115" s="412" t="s">
        <v>1608</v>
      </c>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row>
    <row r="116" spans="1:76" ht="67.5" customHeight="1">
      <c r="A116" s="1"/>
      <c r="B116" s="5"/>
      <c r="C116" s="414"/>
      <c r="D116" s="298" t="s">
        <v>1672</v>
      </c>
      <c r="E116" s="231"/>
      <c r="F116" s="231" t="s">
        <v>140</v>
      </c>
      <c r="G116" s="231"/>
      <c r="H116" s="268"/>
      <c r="I116" s="255" t="str">
        <f>IF(OR(E116="x",F116="x"),"Demande supplémentaire ou annulation","")</f>
        <v>Demande supplémentaire ou annulation</v>
      </c>
      <c r="J116" s="268"/>
      <c r="K116" s="412"/>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row>
    <row r="117" spans="1:76" ht="57.95" customHeight="1">
      <c r="A117" s="1"/>
      <c r="B117" s="5"/>
      <c r="C117" s="413">
        <v>4.2</v>
      </c>
      <c r="D117" s="256" t="s">
        <v>1612</v>
      </c>
      <c r="E117" s="231"/>
      <c r="F117" s="231" t="s">
        <v>141</v>
      </c>
      <c r="G117" s="231"/>
      <c r="H117" s="268"/>
      <c r="I117" s="255" t="str">
        <f>IF(OR(E117="x",F117="x"),"Demande supplémentaire, condition ou annulation","")</f>
        <v>Demande supplémentaire, condition ou annulation</v>
      </c>
      <c r="J117" s="268"/>
      <c r="K117" s="412" t="s">
        <v>1613</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row>
    <row r="118" spans="1:76" ht="30.95" customHeight="1">
      <c r="A118" s="1"/>
      <c r="B118" s="5"/>
      <c r="C118" s="414"/>
      <c r="D118" s="298" t="s">
        <v>1614</v>
      </c>
      <c r="E118" s="231"/>
      <c r="F118" s="231" t="s">
        <v>142</v>
      </c>
      <c r="G118" s="231"/>
      <c r="H118" s="268"/>
      <c r="I118" s="255" t="str">
        <f>IF(OR(E118="x",F118="x"),"Condition ou annulation","")</f>
        <v>Condition ou annulation</v>
      </c>
      <c r="J118" s="268"/>
      <c r="K118" s="412"/>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row>
    <row r="119" spans="1:76" ht="110.1" customHeight="1">
      <c r="A119" s="252"/>
      <c r="B119" s="5"/>
      <c r="C119" s="413">
        <v>4.3</v>
      </c>
      <c r="D119" s="256" t="s">
        <v>2078</v>
      </c>
      <c r="E119" s="231"/>
      <c r="F119" s="231" t="s">
        <v>143</v>
      </c>
      <c r="G119" s="231"/>
      <c r="H119" s="268"/>
      <c r="I119" s="255" t="str">
        <f>IF(OR(E119="x",F119="x"),"Demande supplémentaire, condition ou annulation","")</f>
        <v>Demande supplémentaire, condition ou annulation</v>
      </c>
      <c r="J119" s="268"/>
      <c r="K119" s="412" t="s">
        <v>1615</v>
      </c>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row>
    <row r="120" spans="1:76" ht="33.75" customHeight="1">
      <c r="A120" s="1"/>
      <c r="B120" s="5"/>
      <c r="C120" s="414"/>
      <c r="D120" s="298" t="s">
        <v>144</v>
      </c>
      <c r="E120" s="231"/>
      <c r="F120" s="231" t="s">
        <v>145</v>
      </c>
      <c r="G120" s="231"/>
      <c r="H120" s="268"/>
      <c r="I120" s="255" t="str">
        <f>IF(OR(E120="x",F120="x"),"Condition ou annulation","")</f>
        <v>Condition ou annulation</v>
      </c>
      <c r="J120" s="268"/>
      <c r="K120" s="412"/>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row>
    <row r="121" spans="1:76" ht="60" customHeight="1">
      <c r="A121" s="1"/>
      <c r="B121" s="5"/>
      <c r="C121" s="413">
        <v>4.4000000000000004</v>
      </c>
      <c r="D121" s="256" t="s">
        <v>1618</v>
      </c>
      <c r="E121" s="231"/>
      <c r="F121" s="231" t="s">
        <v>146</v>
      </c>
      <c r="G121" s="231"/>
      <c r="H121" s="268"/>
      <c r="I121" s="255" t="str">
        <f>IF(OR(E121="x",F121="x"),"Demande supplémentaire, condition ou annulation","")</f>
        <v>Demande supplémentaire, condition ou annulation</v>
      </c>
      <c r="J121" s="268"/>
      <c r="K121" s="412" t="s">
        <v>1617</v>
      </c>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row>
    <row r="122" spans="1:76" ht="35.450000000000003" customHeight="1">
      <c r="A122" s="1"/>
      <c r="B122" s="5"/>
      <c r="C122" s="414"/>
      <c r="D122" s="298" t="s">
        <v>147</v>
      </c>
      <c r="E122" s="231"/>
      <c r="F122" s="231" t="s">
        <v>148</v>
      </c>
      <c r="G122" s="231"/>
      <c r="H122" s="268"/>
      <c r="I122" s="255" t="str">
        <f>IF(OR(E122="x",F122="x"),"Condition ou annulation","")</f>
        <v>Condition ou annulation</v>
      </c>
      <c r="J122" s="268"/>
      <c r="K122" s="412"/>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row>
    <row r="123" spans="1:76" ht="50.45" customHeight="1">
      <c r="A123" s="1"/>
      <c r="B123" s="5"/>
      <c r="C123" s="413">
        <v>4.5</v>
      </c>
      <c r="D123" s="351" t="s">
        <v>1620</v>
      </c>
      <c r="E123" s="231"/>
      <c r="F123" s="231" t="s">
        <v>149</v>
      </c>
      <c r="G123" s="231"/>
      <c r="H123" s="268"/>
      <c r="I123" s="255" t="str">
        <f>IF(OR(E123="x",F123="x"),"Demande supplémentaire, condition ou annulation","")</f>
        <v>Demande supplémentaire, condition ou annulation</v>
      </c>
      <c r="J123" s="268"/>
      <c r="K123" s="451" t="s">
        <v>1619</v>
      </c>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row>
    <row r="124" spans="1:76" ht="31.5" customHeight="1">
      <c r="A124" s="1"/>
      <c r="B124" s="5"/>
      <c r="C124" s="414"/>
      <c r="D124" s="298" t="s">
        <v>150</v>
      </c>
      <c r="E124" s="231"/>
      <c r="F124" s="231" t="s">
        <v>151</v>
      </c>
      <c r="G124" s="231"/>
      <c r="H124" s="268"/>
      <c r="I124" s="255" t="str">
        <f>IF(OR(E124="x",F124="x"),"Condition ou annulation","")</f>
        <v>Condition ou annulation</v>
      </c>
      <c r="J124" s="268"/>
      <c r="K124" s="45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row>
    <row r="125" spans="1:76" ht="135" customHeight="1">
      <c r="A125" s="354"/>
      <c r="B125" s="5"/>
      <c r="C125" s="339">
        <v>4.5999999999999996</v>
      </c>
      <c r="D125" s="350" t="s">
        <v>1622</v>
      </c>
      <c r="E125" s="296"/>
      <c r="F125" s="296"/>
      <c r="G125" s="296"/>
      <c r="H125" s="296"/>
      <c r="I125" s="296"/>
      <c r="J125" s="296"/>
      <c r="K125" s="266" t="s">
        <v>1621</v>
      </c>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row>
    <row r="126" spans="1:76" ht="152.1" customHeight="1">
      <c r="A126" s="354"/>
      <c r="B126" s="5"/>
      <c r="C126" s="404" t="s">
        <v>152</v>
      </c>
      <c r="D126" s="351" t="s">
        <v>1624</v>
      </c>
      <c r="E126" s="231"/>
      <c r="F126" s="231" t="s">
        <v>153</v>
      </c>
      <c r="G126" s="231"/>
      <c r="H126" s="268"/>
      <c r="I126" s="255" t="str">
        <f>IF(OR(E126="x",F126="x"),"Demande supplémentaire, condition ou annulation","")</f>
        <v>Demande supplémentaire, condition ou annulation</v>
      </c>
      <c r="J126" s="268"/>
      <c r="K126" s="451" t="s">
        <v>1623</v>
      </c>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row>
    <row r="127" spans="1:76" ht="107.25" customHeight="1">
      <c r="A127" s="354"/>
      <c r="B127" s="5"/>
      <c r="C127" s="405"/>
      <c r="D127" s="298" t="s">
        <v>1625</v>
      </c>
      <c r="E127" s="231"/>
      <c r="F127" s="231" t="s">
        <v>154</v>
      </c>
      <c r="G127" s="231"/>
      <c r="H127" s="268"/>
      <c r="I127" s="255" t="str">
        <f>IF(OR(E127="x",F127="x"),"Condition ou annulation","")</f>
        <v>Condition ou annulation</v>
      </c>
      <c r="J127" s="268"/>
      <c r="K127" s="45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row>
    <row r="128" spans="1:76" ht="140.1" customHeight="1">
      <c r="A128" s="354"/>
      <c r="B128" s="5"/>
      <c r="C128" s="404" t="s">
        <v>155</v>
      </c>
      <c r="D128" s="351" t="s">
        <v>1627</v>
      </c>
      <c r="E128" s="231"/>
      <c r="F128" s="231" t="s">
        <v>156</v>
      </c>
      <c r="G128" s="231"/>
      <c r="H128" s="268"/>
      <c r="I128" s="255" t="str">
        <f>IF(OR(E128="x",F128="x"),"Demande supplémentaire, condition ou annulation","")</f>
        <v>Demande supplémentaire, condition ou annulation</v>
      </c>
      <c r="J128" s="268"/>
      <c r="K128" s="460" t="s">
        <v>1626</v>
      </c>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row>
    <row r="129" spans="1:76" ht="39" customHeight="1">
      <c r="A129" s="354"/>
      <c r="B129" s="5"/>
      <c r="C129" s="405"/>
      <c r="D129" s="298" t="s">
        <v>157</v>
      </c>
      <c r="E129" s="231"/>
      <c r="F129" s="231" t="s">
        <v>158</v>
      </c>
      <c r="G129" s="231"/>
      <c r="H129" s="268"/>
      <c r="I129" s="255" t="str">
        <f>IF(OR(E129="x",F129="x"),"Condition ou annulation","")</f>
        <v>Condition ou annulation</v>
      </c>
      <c r="J129" s="268"/>
      <c r="K129" s="460"/>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row>
    <row r="130" spans="1:76" ht="69.95" customHeight="1">
      <c r="A130" s="306"/>
      <c r="B130" s="5"/>
      <c r="C130" s="404" t="s">
        <v>159</v>
      </c>
      <c r="D130" s="351" t="s">
        <v>1653</v>
      </c>
      <c r="E130" s="231"/>
      <c r="F130" s="231" t="s">
        <v>160</v>
      </c>
      <c r="G130" s="231"/>
      <c r="H130" s="268"/>
      <c r="I130" s="255" t="str">
        <f>IF(OR(E130="x",F130="x"),"Demande supplémentaire, condition ou annulation","")</f>
        <v>Demande supplémentaire, condition ou annulation</v>
      </c>
      <c r="J130" s="268"/>
      <c r="K130" s="451" t="s">
        <v>1628</v>
      </c>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row>
    <row r="131" spans="1:76" ht="33" customHeight="1">
      <c r="A131" s="306"/>
      <c r="B131" s="5"/>
      <c r="C131" s="405"/>
      <c r="D131" s="298" t="s">
        <v>161</v>
      </c>
      <c r="E131" s="231"/>
      <c r="F131" s="231" t="s">
        <v>162</v>
      </c>
      <c r="G131" s="231"/>
      <c r="H131" s="268"/>
      <c r="I131" s="255" t="str">
        <f>IF(OR(E131="x",F131="x"),"Condition ou annulation","")</f>
        <v>Condition ou annulation</v>
      </c>
      <c r="J131" s="268"/>
      <c r="K131" s="45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row>
    <row r="132" spans="1:76" ht="213.6" customHeight="1">
      <c r="A132" s="354"/>
      <c r="B132" s="5"/>
      <c r="C132" s="404" t="s">
        <v>163</v>
      </c>
      <c r="D132" s="351" t="s">
        <v>1655</v>
      </c>
      <c r="E132" s="231"/>
      <c r="F132" s="231" t="s">
        <v>164</v>
      </c>
      <c r="G132" s="231"/>
      <c r="H132" s="268"/>
      <c r="I132" s="255" t="str">
        <f>IF(OR(E132="x",F132="x"),"Demande supplémentaire, condition ou annulation","")</f>
        <v>Demande supplémentaire, condition ou annulation</v>
      </c>
      <c r="J132" s="268"/>
      <c r="K132" s="451" t="s">
        <v>1654</v>
      </c>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row>
    <row r="133" spans="1:76" ht="33.75" customHeight="1">
      <c r="A133" s="354"/>
      <c r="B133" s="5"/>
      <c r="C133" s="405"/>
      <c r="D133" s="298" t="s">
        <v>165</v>
      </c>
      <c r="E133" s="231"/>
      <c r="F133" s="231" t="s">
        <v>166</v>
      </c>
      <c r="G133" s="231"/>
      <c r="H133" s="268"/>
      <c r="I133" s="255" t="str">
        <f>IF(OR(E133="x",F133="x"),"Condition ou annulation","")</f>
        <v>Condition ou annulation</v>
      </c>
      <c r="J133" s="268"/>
      <c r="K133" s="45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row>
    <row r="134" spans="1:76" ht="242.45" customHeight="1">
      <c r="A134" s="354"/>
      <c r="B134" s="5"/>
      <c r="C134" s="404" t="s">
        <v>167</v>
      </c>
      <c r="D134" s="351" t="s">
        <v>1657</v>
      </c>
      <c r="E134" s="231"/>
      <c r="F134" s="231" t="s">
        <v>168</v>
      </c>
      <c r="G134" s="231"/>
      <c r="H134" s="268"/>
      <c r="I134" s="255" t="str">
        <f>IF(OR(E134="x",F134="x"),"Demande supplémentaire, condition ou annulation","")</f>
        <v>Demande supplémentaire, condition ou annulation</v>
      </c>
      <c r="J134" s="268"/>
      <c r="K134" s="451" t="s">
        <v>1656</v>
      </c>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row>
    <row r="135" spans="1:76" ht="47.25" customHeight="1">
      <c r="A135" s="354"/>
      <c r="B135" s="5"/>
      <c r="C135" s="405"/>
      <c r="D135" s="298" t="s">
        <v>169</v>
      </c>
      <c r="E135" s="231"/>
      <c r="F135" s="231" t="s">
        <v>170</v>
      </c>
      <c r="G135" s="231"/>
      <c r="H135" s="268"/>
      <c r="I135" s="255" t="str">
        <f>IF(OR(E135="x",F135="x"),"Condition ou annulation","")</f>
        <v>Condition ou annulation</v>
      </c>
      <c r="J135" s="268"/>
      <c r="K135" s="45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row>
    <row r="136" spans="1:76" ht="200.1" customHeight="1">
      <c r="A136" s="354"/>
      <c r="B136" s="5"/>
      <c r="C136" s="404" t="s">
        <v>171</v>
      </c>
      <c r="D136" s="351" t="s">
        <v>1659</v>
      </c>
      <c r="E136" s="231"/>
      <c r="F136" s="231" t="s">
        <v>172</v>
      </c>
      <c r="G136" s="231"/>
      <c r="H136" s="268"/>
      <c r="I136" s="255" t="str">
        <f>IF(OR(E136="x",F136="x"),"Demande supplémentaire, condition ou annulation","")</f>
        <v>Demande supplémentaire, condition ou annulation</v>
      </c>
      <c r="J136" s="268"/>
      <c r="K136" s="451" t="s">
        <v>1658</v>
      </c>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row>
    <row r="137" spans="1:76" ht="47.25" customHeight="1">
      <c r="A137" s="354"/>
      <c r="B137" s="5"/>
      <c r="C137" s="405"/>
      <c r="D137" s="298" t="s">
        <v>173</v>
      </c>
      <c r="E137" s="231"/>
      <c r="F137" s="231" t="s">
        <v>174</v>
      </c>
      <c r="G137" s="231"/>
      <c r="H137" s="268"/>
      <c r="I137" s="255" t="str">
        <f>IF(OR(E137="x",F137="x"),"Condition ou annulation","")</f>
        <v>Condition ou annulation</v>
      </c>
      <c r="J137" s="268"/>
      <c r="K137" s="45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row>
    <row r="138" spans="1:76" ht="142.5" customHeight="1">
      <c r="A138" s="354"/>
      <c r="B138" s="5"/>
      <c r="C138" s="404" t="s">
        <v>175</v>
      </c>
      <c r="D138" s="351" t="s">
        <v>1661</v>
      </c>
      <c r="E138" s="231"/>
      <c r="F138" s="231" t="s">
        <v>176</v>
      </c>
      <c r="G138" s="231"/>
      <c r="H138" s="268"/>
      <c r="I138" s="255" t="str">
        <f>IF(OR(E138="x",F138="x"),"Demande supplémentaire, condition ou annulation","")</f>
        <v>Demande supplémentaire, condition ou annulation</v>
      </c>
      <c r="J138" s="268"/>
      <c r="K138" s="451" t="s">
        <v>1660</v>
      </c>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row>
    <row r="139" spans="1:76" ht="37.5" customHeight="1">
      <c r="A139" s="354"/>
      <c r="B139" s="5"/>
      <c r="C139" s="405"/>
      <c r="D139" s="298" t="s">
        <v>177</v>
      </c>
      <c r="E139" s="231"/>
      <c r="F139" s="231" t="s">
        <v>178</v>
      </c>
      <c r="G139" s="231"/>
      <c r="H139" s="268"/>
      <c r="I139" s="255" t="str">
        <f>IF(OR(E139="x",F139="x"),"Condition ou annulation","")</f>
        <v>Condition ou annulation</v>
      </c>
      <c r="J139" s="268"/>
      <c r="K139" s="45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row>
    <row r="140" spans="1:76" ht="270.60000000000002" customHeight="1">
      <c r="A140" s="354"/>
      <c r="B140" s="5"/>
      <c r="C140" s="404" t="s">
        <v>179</v>
      </c>
      <c r="D140" s="351" t="s">
        <v>2093</v>
      </c>
      <c r="E140" s="231"/>
      <c r="F140" s="231" t="s">
        <v>180</v>
      </c>
      <c r="G140" s="231"/>
      <c r="H140" s="268"/>
      <c r="I140" s="255" t="str">
        <f>IF(OR(E140="x",F140="x"),"Demande supplémentaire, condition ou annulation","")</f>
        <v>Demande supplémentaire, condition ou annulation</v>
      </c>
      <c r="J140" s="268"/>
      <c r="K140" s="451" t="s">
        <v>1662</v>
      </c>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row>
    <row r="141" spans="1:76" ht="44.25" customHeight="1">
      <c r="A141" s="354"/>
      <c r="B141" s="5"/>
      <c r="C141" s="405"/>
      <c r="D141" s="298" t="s">
        <v>181</v>
      </c>
      <c r="E141" s="231"/>
      <c r="F141" s="231" t="s">
        <v>182</v>
      </c>
      <c r="G141" s="231"/>
      <c r="H141" s="268"/>
      <c r="I141" s="255" t="str">
        <f>IF(OR(E141="x",F141="x"),"Condition ou annulation","")</f>
        <v>Condition ou annulation</v>
      </c>
      <c r="J141" s="268"/>
      <c r="K141" s="45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row>
    <row r="142" spans="1:76" ht="267.60000000000002" customHeight="1">
      <c r="A142" s="1"/>
      <c r="B142" s="5"/>
      <c r="C142" s="404" t="s">
        <v>183</v>
      </c>
      <c r="D142" s="331" t="s">
        <v>2083</v>
      </c>
      <c r="E142" s="231"/>
      <c r="F142" s="231" t="s">
        <v>184</v>
      </c>
      <c r="G142" s="231"/>
      <c r="H142" s="268"/>
      <c r="I142" s="255" t="str">
        <f>IF(OR(E142="x",F142="x"),"Demande supplémentaire, condition ou annulation","")</f>
        <v>Demande supplémentaire, condition ou annulation</v>
      </c>
      <c r="J142" s="268"/>
      <c r="K142" s="451" t="s">
        <v>1663</v>
      </c>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row>
    <row r="143" spans="1:76" ht="44.45" customHeight="1">
      <c r="A143" s="1"/>
      <c r="B143" s="5"/>
      <c r="C143" s="405"/>
      <c r="D143" s="298" t="s">
        <v>185</v>
      </c>
      <c r="E143" s="231"/>
      <c r="F143" s="231" t="s">
        <v>186</v>
      </c>
      <c r="G143" s="231"/>
      <c r="H143" s="268"/>
      <c r="I143" s="255" t="str">
        <f>IF(OR(E143="x",F143="x"),"Condition ou annulation","")</f>
        <v>Condition ou annulation</v>
      </c>
      <c r="J143" s="268"/>
      <c r="K143" s="45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row>
    <row r="144" spans="1:76" ht="242.1" customHeight="1">
      <c r="A144" s="1"/>
      <c r="B144" s="5"/>
      <c r="C144" s="404" t="s">
        <v>187</v>
      </c>
      <c r="D144" s="331" t="s">
        <v>2084</v>
      </c>
      <c r="E144" s="231"/>
      <c r="F144" s="231" t="s">
        <v>188</v>
      </c>
      <c r="G144" s="231"/>
      <c r="H144" s="268"/>
      <c r="I144" s="255" t="str">
        <f>IF(OR(E144="x",F144="x"),"Demande supplémentaire, condition ou annulation","")</f>
        <v>Demande supplémentaire, condition ou annulation</v>
      </c>
      <c r="J144" s="268"/>
      <c r="K144" s="451" t="s">
        <v>189</v>
      </c>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row>
    <row r="145" spans="1:76" ht="45" customHeight="1">
      <c r="A145" s="1"/>
      <c r="B145" s="5"/>
      <c r="C145" s="405"/>
      <c r="D145" s="298" t="s">
        <v>190</v>
      </c>
      <c r="E145" s="231"/>
      <c r="F145" s="231" t="s">
        <v>191</v>
      </c>
      <c r="G145" s="231"/>
      <c r="H145" s="268"/>
      <c r="I145" s="255" t="str">
        <f>IF(OR(E145="x",F145="x"),"Condition ou annulation","")</f>
        <v>Condition ou annulation</v>
      </c>
      <c r="J145" s="268"/>
      <c r="K145" s="45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row>
    <row r="146" spans="1:76" ht="186" customHeight="1">
      <c r="A146" s="1"/>
      <c r="B146" s="5"/>
      <c r="C146" s="404" t="s">
        <v>192</v>
      </c>
      <c r="D146" s="256" t="s">
        <v>2085</v>
      </c>
      <c r="E146" s="231"/>
      <c r="F146" s="231" t="s">
        <v>193</v>
      </c>
      <c r="G146" s="231"/>
      <c r="H146" s="268"/>
      <c r="I146" s="255" t="str">
        <f>IF(OR(E146="x",F146="x"),"Demande supplémentaire, condition ou annulation","")</f>
        <v>Demande supplémentaire, condition ou annulation</v>
      </c>
      <c r="J146" s="268"/>
      <c r="K146" s="451" t="s">
        <v>2086</v>
      </c>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row>
    <row r="147" spans="1:76" ht="33.950000000000003" customHeight="1">
      <c r="A147" s="1"/>
      <c r="B147" s="5"/>
      <c r="C147" s="405"/>
      <c r="D147" s="298" t="s">
        <v>194</v>
      </c>
      <c r="E147" s="231"/>
      <c r="F147" s="231" t="s">
        <v>195</v>
      </c>
      <c r="G147" s="231"/>
      <c r="H147" s="268"/>
      <c r="I147" s="255" t="str">
        <f>IF(OR(E147="x",F147="x"),"Condition ou annulation","")</f>
        <v>Condition ou annulation</v>
      </c>
      <c r="J147" s="268"/>
      <c r="K147" s="45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row>
    <row r="148" spans="1:76" ht="96.6" customHeight="1">
      <c r="A148" s="1"/>
      <c r="B148" s="5"/>
      <c r="C148" s="404" t="s">
        <v>196</v>
      </c>
      <c r="D148" s="256" t="s">
        <v>2128</v>
      </c>
      <c r="E148" s="231"/>
      <c r="F148" s="231" t="s">
        <v>197</v>
      </c>
      <c r="G148" s="231"/>
      <c r="H148" s="268"/>
      <c r="I148" s="255" t="str">
        <f>IF(OR(E148="x",F148="x"),"Demande supplémentaire, condition ou annulation","")</f>
        <v>Demande supplémentaire, condition ou annulation</v>
      </c>
      <c r="J148" s="268"/>
      <c r="K148" s="451" t="s">
        <v>198</v>
      </c>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row>
    <row r="149" spans="1:76" ht="33.75" customHeight="1">
      <c r="A149" s="1"/>
      <c r="B149" s="5"/>
      <c r="C149" s="405"/>
      <c r="D149" s="298" t="s">
        <v>199</v>
      </c>
      <c r="E149" s="231"/>
      <c r="F149" s="231" t="s">
        <v>200</v>
      </c>
      <c r="G149" s="231"/>
      <c r="H149" s="268"/>
      <c r="I149" s="255" t="str">
        <f>IF(OR(E149="x",F149="x"),"Condition ou annulation","")</f>
        <v>Condition ou annulation</v>
      </c>
      <c r="J149" s="268"/>
      <c r="K149" s="45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row>
    <row r="150" spans="1:76" ht="146.25" customHeight="1">
      <c r="A150" s="1"/>
      <c r="B150" s="5"/>
      <c r="C150" s="404" t="s">
        <v>201</v>
      </c>
      <c r="D150" s="256" t="s">
        <v>2087</v>
      </c>
      <c r="E150" s="231"/>
      <c r="F150" s="231" t="s">
        <v>202</v>
      </c>
      <c r="G150" s="231"/>
      <c r="H150" s="268"/>
      <c r="I150" s="255" t="str">
        <f>IF(OR(E150="x",F150="x"),"Demande supplémentaire, condition ou annulation","")</f>
        <v>Demande supplémentaire, condition ou annulation</v>
      </c>
      <c r="J150" s="268"/>
      <c r="K150" s="451" t="s">
        <v>203</v>
      </c>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row>
    <row r="151" spans="1:76" ht="38.25" customHeight="1">
      <c r="A151" s="1"/>
      <c r="B151" s="5"/>
      <c r="C151" s="405"/>
      <c r="D151" s="298" t="s">
        <v>204</v>
      </c>
      <c r="E151" s="231"/>
      <c r="F151" s="231" t="s">
        <v>205</v>
      </c>
      <c r="G151" s="231"/>
      <c r="H151" s="268"/>
      <c r="I151" s="255" t="str">
        <f>IF(OR(E151="x",F151="x"),"Condition ou annulation","")</f>
        <v>Condition ou annulation</v>
      </c>
      <c r="J151" s="268"/>
      <c r="K151" s="45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row>
    <row r="152" spans="1:76" ht="33" customHeight="1">
      <c r="A152" s="1"/>
      <c r="B152" s="5"/>
      <c r="C152" s="241"/>
      <c r="D152" s="252"/>
      <c r="E152" s="251"/>
      <c r="F152" s="251"/>
      <c r="G152" s="276"/>
      <c r="H152" s="252"/>
      <c r="I152" s="252"/>
      <c r="J152" s="252"/>
      <c r="K152" s="253"/>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row>
    <row r="153" spans="1:76" ht="26.25" customHeight="1">
      <c r="A153" s="1"/>
      <c r="B153" s="5"/>
      <c r="C153" s="445" t="s">
        <v>1629</v>
      </c>
      <c r="D153" s="446"/>
      <c r="E153" s="301"/>
      <c r="F153" s="301"/>
      <c r="G153" s="259"/>
      <c r="H153" s="260"/>
      <c r="I153" s="260"/>
      <c r="J153" s="260"/>
      <c r="K153" s="26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row>
    <row r="154" spans="1:76" ht="61.5" customHeight="1">
      <c r="A154" s="1"/>
      <c r="B154" s="5"/>
      <c r="C154" s="408" t="s">
        <v>1630</v>
      </c>
      <c r="D154" s="409"/>
      <c r="E154" s="409"/>
      <c r="F154" s="409"/>
      <c r="G154" s="409"/>
      <c r="H154" s="409"/>
      <c r="I154" s="409"/>
      <c r="J154" s="409"/>
      <c r="K154" s="410"/>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row>
    <row r="155" spans="1:76" ht="29.25" customHeight="1">
      <c r="A155" s="1"/>
      <c r="B155" s="5"/>
      <c r="C155" s="457" t="s">
        <v>206</v>
      </c>
      <c r="D155" s="436"/>
      <c r="E155" s="415" t="s">
        <v>207</v>
      </c>
      <c r="F155" s="416"/>
      <c r="G155" s="417"/>
      <c r="H155" s="433" t="s">
        <v>208</v>
      </c>
      <c r="I155" s="422" t="s">
        <v>1514</v>
      </c>
      <c r="J155" s="422" t="s">
        <v>1516</v>
      </c>
      <c r="K155" s="458" t="s">
        <v>209</v>
      </c>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row>
    <row r="156" spans="1:76" ht="30" customHeight="1">
      <c r="A156" s="1"/>
      <c r="B156" s="5"/>
      <c r="C156" s="457"/>
      <c r="D156" s="436"/>
      <c r="E156" s="314" t="s">
        <v>210</v>
      </c>
      <c r="F156" s="315" t="s">
        <v>211</v>
      </c>
      <c r="G156" s="315" t="s">
        <v>212</v>
      </c>
      <c r="H156" s="434"/>
      <c r="I156" s="423"/>
      <c r="J156" s="423"/>
      <c r="K156" s="459"/>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row>
    <row r="157" spans="1:76" ht="138" customHeight="1">
      <c r="A157" s="1"/>
      <c r="B157" s="5"/>
      <c r="C157" s="353">
        <v>5.0999999999999996</v>
      </c>
      <c r="D157" s="270" t="s">
        <v>1632</v>
      </c>
      <c r="E157" s="231"/>
      <c r="F157" s="231" t="s">
        <v>213</v>
      </c>
      <c r="G157" s="231"/>
      <c r="H157" s="268"/>
      <c r="I157" s="255" t="str">
        <f>IF(OR(E157="x",F157="x"),"Demande supplémentaire ou annulation","")</f>
        <v>Demande supplémentaire ou annulation</v>
      </c>
      <c r="J157" s="268"/>
      <c r="K157" s="240" t="s">
        <v>1631</v>
      </c>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row>
    <row r="158" spans="1:76" s="279" customFormat="1" ht="93.95" customHeight="1">
      <c r="A158" s="277"/>
      <c r="B158" s="278"/>
      <c r="C158" s="353">
        <v>5.2</v>
      </c>
      <c r="D158" s="270" t="s">
        <v>1633</v>
      </c>
      <c r="E158" s="303"/>
      <c r="F158" s="231" t="s">
        <v>214</v>
      </c>
      <c r="G158" s="231"/>
      <c r="H158" s="360"/>
      <c r="I158" s="255" t="str">
        <f>IF(OR(E158="x",F158="x"),"Demande supplémentaire ou annulation","")</f>
        <v>Demande supplémentaire ou annulation</v>
      </c>
      <c r="J158" s="360"/>
      <c r="K158" s="240" t="s">
        <v>1631</v>
      </c>
      <c r="L158" s="277"/>
      <c r="M158" s="277"/>
      <c r="N158" s="277"/>
      <c r="O158" s="277"/>
      <c r="P158" s="277"/>
      <c r="Q158" s="277"/>
      <c r="R158" s="277"/>
      <c r="S158" s="277"/>
      <c r="T158" s="277"/>
      <c r="U158" s="277"/>
      <c r="V158" s="277"/>
      <c r="W158" s="277"/>
      <c r="X158" s="277"/>
      <c r="Y158" s="277"/>
      <c r="Z158" s="277"/>
      <c r="AA158" s="277"/>
      <c r="AB158" s="277"/>
      <c r="AC158" s="277"/>
      <c r="AD158" s="277"/>
      <c r="AE158" s="277"/>
      <c r="AF158" s="277"/>
      <c r="AG158" s="277"/>
      <c r="AH158" s="277"/>
      <c r="AI158" s="277"/>
      <c r="AJ158" s="277"/>
      <c r="AK158" s="277"/>
      <c r="AL158" s="277"/>
      <c r="AM158" s="277"/>
      <c r="AN158" s="277"/>
      <c r="AO158" s="277"/>
      <c r="AP158" s="277"/>
      <c r="AQ158" s="277"/>
      <c r="AR158" s="277"/>
      <c r="AS158" s="277"/>
      <c r="AT158" s="277"/>
      <c r="AU158" s="277"/>
      <c r="AV158" s="277"/>
      <c r="AW158" s="277"/>
      <c r="AX158" s="277"/>
      <c r="AY158" s="277"/>
      <c r="AZ158" s="277"/>
      <c r="BA158" s="277"/>
      <c r="BB158" s="277"/>
      <c r="BC158" s="277"/>
      <c r="BD158" s="277"/>
      <c r="BE158" s="277"/>
      <c r="BF158" s="277"/>
      <c r="BG158" s="277"/>
      <c r="BH158" s="277"/>
      <c r="BI158" s="277"/>
      <c r="BJ158" s="277"/>
      <c r="BK158" s="277"/>
      <c r="BL158" s="277"/>
      <c r="BM158" s="277"/>
      <c r="BN158" s="277"/>
      <c r="BO158" s="277"/>
      <c r="BP158" s="277"/>
      <c r="BQ158" s="277"/>
      <c r="BR158" s="277"/>
      <c r="BS158" s="277"/>
      <c r="BT158" s="277"/>
      <c r="BU158" s="277"/>
      <c r="BV158" s="277"/>
      <c r="BW158" s="277"/>
      <c r="BX158" s="277"/>
    </row>
    <row r="159" spans="1:76" s="279" customFormat="1" ht="74.099999999999994" customHeight="1">
      <c r="A159" s="277"/>
      <c r="B159" s="278"/>
      <c r="C159" s="353">
        <v>5.3</v>
      </c>
      <c r="D159" s="270" t="s">
        <v>2129</v>
      </c>
      <c r="E159" s="303"/>
      <c r="F159" s="231" t="s">
        <v>215</v>
      </c>
      <c r="G159" s="231"/>
      <c r="H159" s="360"/>
      <c r="I159" s="255" t="str">
        <f>IF(OR(E159="x",F159="x"),"Demande supplémentaire ou annulation","")</f>
        <v>Demande supplémentaire ou annulation</v>
      </c>
      <c r="J159" s="360"/>
      <c r="K159" s="240" t="s">
        <v>1631</v>
      </c>
      <c r="L159" s="277"/>
      <c r="M159" s="277"/>
      <c r="N159" s="277"/>
      <c r="O159" s="277"/>
      <c r="P159" s="277"/>
      <c r="Q159" s="277"/>
      <c r="R159" s="277"/>
      <c r="S159" s="277"/>
      <c r="T159" s="277"/>
      <c r="U159" s="277"/>
      <c r="V159" s="277"/>
      <c r="W159" s="277"/>
      <c r="X159" s="277"/>
      <c r="Y159" s="277"/>
      <c r="Z159" s="277"/>
      <c r="AA159" s="277"/>
      <c r="AB159" s="277"/>
      <c r="AC159" s="277"/>
      <c r="AD159" s="277"/>
      <c r="AE159" s="277"/>
      <c r="AF159" s="277"/>
      <c r="AG159" s="277"/>
      <c r="AH159" s="277"/>
      <c r="AI159" s="277"/>
      <c r="AJ159" s="277"/>
      <c r="AK159" s="277"/>
      <c r="AL159" s="277"/>
      <c r="AM159" s="277"/>
      <c r="AN159" s="277"/>
      <c r="AO159" s="277"/>
      <c r="AP159" s="277"/>
      <c r="AQ159" s="277"/>
      <c r="AR159" s="277"/>
      <c r="AS159" s="277"/>
      <c r="AT159" s="277"/>
      <c r="AU159" s="277"/>
      <c r="AV159" s="277"/>
      <c r="AW159" s="277"/>
      <c r="AX159" s="277"/>
      <c r="AY159" s="277"/>
      <c r="AZ159" s="277"/>
      <c r="BA159" s="277"/>
      <c r="BB159" s="277"/>
      <c r="BC159" s="277"/>
      <c r="BD159" s="277"/>
      <c r="BE159" s="277"/>
      <c r="BF159" s="277"/>
      <c r="BG159" s="277"/>
      <c r="BH159" s="277"/>
      <c r="BI159" s="277"/>
      <c r="BJ159" s="277"/>
      <c r="BK159" s="277"/>
      <c r="BL159" s="277"/>
      <c r="BM159" s="277"/>
      <c r="BN159" s="277"/>
      <c r="BO159" s="277"/>
      <c r="BP159" s="277"/>
      <c r="BQ159" s="277"/>
      <c r="BR159" s="277"/>
      <c r="BS159" s="277"/>
      <c r="BT159" s="277"/>
      <c r="BU159" s="277"/>
      <c r="BV159" s="277"/>
      <c r="BW159" s="277"/>
      <c r="BX159" s="277"/>
    </row>
    <row r="160" spans="1:76" s="279" customFormat="1" ht="113.45" customHeight="1">
      <c r="A160" s="277"/>
      <c r="B160" s="278"/>
      <c r="C160" s="353">
        <v>5.4</v>
      </c>
      <c r="D160" s="270" t="s">
        <v>2065</v>
      </c>
      <c r="E160" s="303"/>
      <c r="F160" s="231" t="s">
        <v>216</v>
      </c>
      <c r="G160" s="231"/>
      <c r="H160" s="360"/>
      <c r="I160" s="255" t="str">
        <f>IF(OR(E160="x",F160="x"),"Demande supplémentaire ou annulation","")</f>
        <v>Demande supplémentaire ou annulation</v>
      </c>
      <c r="J160" s="360"/>
      <c r="K160" s="240" t="s">
        <v>1631</v>
      </c>
      <c r="L160" s="277"/>
      <c r="M160" s="277"/>
      <c r="N160" s="277"/>
      <c r="O160" s="277"/>
      <c r="P160" s="277"/>
      <c r="Q160" s="277"/>
      <c r="R160" s="277"/>
      <c r="S160" s="277"/>
      <c r="T160" s="277"/>
      <c r="U160" s="277"/>
      <c r="V160" s="277"/>
      <c r="W160" s="277"/>
      <c r="X160" s="277"/>
      <c r="Y160" s="277"/>
      <c r="Z160" s="277"/>
      <c r="AA160" s="277"/>
      <c r="AB160" s="277"/>
      <c r="AC160" s="277"/>
      <c r="AD160" s="277"/>
      <c r="AE160" s="277"/>
      <c r="AF160" s="277"/>
      <c r="AG160" s="277"/>
      <c r="AH160" s="277"/>
      <c r="AI160" s="277"/>
      <c r="AJ160" s="277"/>
      <c r="AK160" s="277"/>
      <c r="AL160" s="277"/>
      <c r="AM160" s="277"/>
      <c r="AN160" s="277"/>
      <c r="AO160" s="277"/>
      <c r="AP160" s="277"/>
      <c r="AQ160" s="277"/>
      <c r="AR160" s="277"/>
      <c r="AS160" s="277"/>
      <c r="AT160" s="277"/>
      <c r="AU160" s="277"/>
      <c r="AV160" s="277"/>
      <c r="AW160" s="277"/>
      <c r="AX160" s="277"/>
      <c r="AY160" s="277"/>
      <c r="AZ160" s="277"/>
      <c r="BA160" s="277"/>
      <c r="BB160" s="277"/>
      <c r="BC160" s="277"/>
      <c r="BD160" s="277"/>
      <c r="BE160" s="277"/>
      <c r="BF160" s="277"/>
      <c r="BG160" s="277"/>
      <c r="BH160" s="277"/>
      <c r="BI160" s="277"/>
      <c r="BJ160" s="277"/>
      <c r="BK160" s="277"/>
      <c r="BL160" s="277"/>
      <c r="BM160" s="277"/>
      <c r="BN160" s="277"/>
      <c r="BO160" s="277"/>
      <c r="BP160" s="277"/>
      <c r="BQ160" s="277"/>
      <c r="BR160" s="277"/>
      <c r="BS160" s="277"/>
      <c r="BT160" s="277"/>
      <c r="BU160" s="277"/>
      <c r="BV160" s="277"/>
      <c r="BW160" s="277"/>
      <c r="BX160" s="277"/>
    </row>
    <row r="161" spans="1:76" s="279" customFormat="1" ht="96.95" customHeight="1">
      <c r="A161" s="277"/>
      <c r="B161" s="278"/>
      <c r="C161" s="411">
        <v>5.5</v>
      </c>
      <c r="D161" s="270" t="s">
        <v>2115</v>
      </c>
      <c r="E161" s="303"/>
      <c r="F161" s="231" t="s">
        <v>1635</v>
      </c>
      <c r="G161" s="231"/>
      <c r="H161" s="360"/>
      <c r="I161" s="255" t="str">
        <f>IF(OR(E161="x",F161="x"),"Demande supplémentaire ou annulation","")</f>
        <v>Demande supplémentaire ou annulation</v>
      </c>
      <c r="J161" s="360"/>
      <c r="K161" s="240"/>
      <c r="L161" s="277"/>
      <c r="M161" s="277"/>
      <c r="N161" s="277"/>
      <c r="O161" s="277"/>
      <c r="P161" s="277"/>
      <c r="Q161" s="277"/>
      <c r="R161" s="277"/>
      <c r="S161" s="277"/>
      <c r="T161" s="277"/>
      <c r="U161" s="277"/>
      <c r="V161" s="277"/>
      <c r="W161" s="277"/>
      <c r="X161" s="277"/>
      <c r="Y161" s="277"/>
      <c r="Z161" s="277"/>
      <c r="AA161" s="277"/>
      <c r="AB161" s="277"/>
      <c r="AC161" s="277"/>
      <c r="AD161" s="277"/>
      <c r="AE161" s="277"/>
      <c r="AF161" s="277"/>
      <c r="AG161" s="277"/>
      <c r="AH161" s="277"/>
      <c r="AI161" s="277"/>
      <c r="AJ161" s="277"/>
      <c r="AK161" s="277"/>
      <c r="AL161" s="277"/>
      <c r="AM161" s="277"/>
      <c r="AN161" s="277"/>
      <c r="AO161" s="277"/>
      <c r="AP161" s="277"/>
      <c r="AQ161" s="277"/>
      <c r="AR161" s="277"/>
      <c r="AS161" s="277"/>
      <c r="AT161" s="277"/>
      <c r="AU161" s="277"/>
      <c r="AV161" s="277"/>
      <c r="AW161" s="277"/>
      <c r="AX161" s="277"/>
      <c r="AY161" s="277"/>
      <c r="AZ161" s="277"/>
      <c r="BA161" s="277"/>
      <c r="BB161" s="277"/>
      <c r="BC161" s="277"/>
      <c r="BD161" s="277"/>
      <c r="BE161" s="277"/>
      <c r="BF161" s="277"/>
      <c r="BG161" s="277"/>
      <c r="BH161" s="277"/>
      <c r="BI161" s="277"/>
      <c r="BJ161" s="277"/>
      <c r="BK161" s="277"/>
      <c r="BL161" s="277"/>
      <c r="BM161" s="277"/>
      <c r="BN161" s="277"/>
      <c r="BO161" s="277"/>
      <c r="BP161" s="277"/>
      <c r="BQ161" s="277"/>
      <c r="BR161" s="277"/>
      <c r="BS161" s="277"/>
      <c r="BT161" s="277"/>
      <c r="BU161" s="277"/>
      <c r="BV161" s="277"/>
      <c r="BW161" s="277"/>
      <c r="BX161" s="277"/>
    </row>
    <row r="162" spans="1:76" s="279" customFormat="1" ht="30.6" customHeight="1">
      <c r="A162" s="277"/>
      <c r="B162" s="278"/>
      <c r="C162" s="392"/>
      <c r="D162" s="298" t="s">
        <v>157</v>
      </c>
      <c r="E162" s="303"/>
      <c r="F162" s="231" t="s">
        <v>1635</v>
      </c>
      <c r="G162" s="231"/>
      <c r="H162" s="360"/>
      <c r="I162" s="255" t="str">
        <f>IF(OR(E162="x",F162="x"),"Condition ou annulation","")</f>
        <v>Condition ou annulation</v>
      </c>
      <c r="J162" s="360"/>
      <c r="K162" s="240"/>
      <c r="L162" s="277"/>
      <c r="M162" s="277"/>
      <c r="N162" s="277"/>
      <c r="O162" s="277"/>
      <c r="P162" s="277"/>
      <c r="Q162" s="277"/>
      <c r="R162" s="277"/>
      <c r="S162" s="277"/>
      <c r="T162" s="277"/>
      <c r="U162" s="277"/>
      <c r="V162" s="277"/>
      <c r="W162" s="277"/>
      <c r="X162" s="277"/>
      <c r="Y162" s="277"/>
      <c r="Z162" s="277"/>
      <c r="AA162" s="277"/>
      <c r="AB162" s="277"/>
      <c r="AC162" s="277"/>
      <c r="AD162" s="277"/>
      <c r="AE162" s="277"/>
      <c r="AF162" s="277"/>
      <c r="AG162" s="277"/>
      <c r="AH162" s="277"/>
      <c r="AI162" s="277"/>
      <c r="AJ162" s="277"/>
      <c r="AK162" s="277"/>
      <c r="AL162" s="277"/>
      <c r="AM162" s="277"/>
      <c r="AN162" s="277"/>
      <c r="AO162" s="277"/>
      <c r="AP162" s="277"/>
      <c r="AQ162" s="277"/>
      <c r="AR162" s="277"/>
      <c r="AS162" s="277"/>
      <c r="AT162" s="277"/>
      <c r="AU162" s="277"/>
      <c r="AV162" s="277"/>
      <c r="AW162" s="277"/>
      <c r="AX162" s="277"/>
      <c r="AY162" s="277"/>
      <c r="AZ162" s="277"/>
      <c r="BA162" s="277"/>
      <c r="BB162" s="277"/>
      <c r="BC162" s="277"/>
      <c r="BD162" s="277"/>
      <c r="BE162" s="277"/>
      <c r="BF162" s="277"/>
      <c r="BG162" s="277"/>
      <c r="BH162" s="277"/>
      <c r="BI162" s="277"/>
      <c r="BJ162" s="277"/>
      <c r="BK162" s="277"/>
      <c r="BL162" s="277"/>
      <c r="BM162" s="277"/>
      <c r="BN162" s="277"/>
      <c r="BO162" s="277"/>
      <c r="BP162" s="277"/>
      <c r="BQ162" s="277"/>
      <c r="BR162" s="277"/>
      <c r="BS162" s="277"/>
      <c r="BT162" s="277"/>
      <c r="BU162" s="277"/>
      <c r="BV162" s="277"/>
      <c r="BW162" s="277"/>
      <c r="BX162" s="277"/>
    </row>
    <row r="163" spans="1:76" s="279" customFormat="1" ht="78.95" customHeight="1">
      <c r="A163" s="277"/>
      <c r="B163" s="278"/>
      <c r="C163" s="411">
        <v>5.6</v>
      </c>
      <c r="D163" s="270" t="s">
        <v>1638</v>
      </c>
      <c r="E163" s="303"/>
      <c r="F163" s="231" t="s">
        <v>217</v>
      </c>
      <c r="G163" s="231"/>
      <c r="H163" s="360"/>
      <c r="I163" s="255" t="str">
        <f>IF(OR(E163="x",F163="x"),"Demande supplémentaire ou annulation","")</f>
        <v>Demande supplémentaire ou annulation</v>
      </c>
      <c r="J163" s="360"/>
      <c r="K163" s="412" t="s">
        <v>1631</v>
      </c>
      <c r="L163" s="277"/>
      <c r="M163" s="277"/>
      <c r="N163" s="277"/>
      <c r="O163" s="277"/>
      <c r="P163" s="277"/>
      <c r="Q163" s="277"/>
      <c r="R163" s="277"/>
      <c r="S163" s="277"/>
      <c r="T163" s="277"/>
      <c r="U163" s="277"/>
      <c r="V163" s="277"/>
      <c r="W163" s="277"/>
      <c r="X163" s="277"/>
      <c r="Y163" s="277"/>
      <c r="Z163" s="277"/>
      <c r="AA163" s="277"/>
      <c r="AB163" s="277"/>
      <c r="AC163" s="277"/>
      <c r="AD163" s="277"/>
      <c r="AE163" s="277"/>
      <c r="AF163" s="277"/>
      <c r="AG163" s="277"/>
      <c r="AH163" s="277"/>
      <c r="AI163" s="277"/>
      <c r="AJ163" s="277"/>
      <c r="AK163" s="277"/>
      <c r="AL163" s="277"/>
      <c r="AM163" s="277"/>
      <c r="AN163" s="277"/>
      <c r="AO163" s="277"/>
      <c r="AP163" s="277"/>
      <c r="AQ163" s="277"/>
      <c r="AR163" s="277"/>
      <c r="AS163" s="277"/>
      <c r="AT163" s="277"/>
      <c r="AU163" s="277"/>
      <c r="AV163" s="277"/>
      <c r="AW163" s="277"/>
      <c r="AX163" s="277"/>
      <c r="AY163" s="277"/>
      <c r="AZ163" s="277"/>
      <c r="BA163" s="277"/>
      <c r="BB163" s="277"/>
      <c r="BC163" s="277"/>
      <c r="BD163" s="277"/>
      <c r="BE163" s="277"/>
      <c r="BF163" s="277"/>
      <c r="BG163" s="277"/>
      <c r="BH163" s="277"/>
      <c r="BI163" s="277"/>
      <c r="BJ163" s="277"/>
      <c r="BK163" s="277"/>
      <c r="BL163" s="277"/>
      <c r="BM163" s="277"/>
      <c r="BN163" s="277"/>
      <c r="BO163" s="277"/>
      <c r="BP163" s="277"/>
      <c r="BQ163" s="277"/>
      <c r="BR163" s="277"/>
      <c r="BS163" s="277"/>
      <c r="BT163" s="277"/>
      <c r="BU163" s="277"/>
      <c r="BV163" s="277"/>
      <c r="BW163" s="277"/>
      <c r="BX163" s="277"/>
    </row>
    <row r="164" spans="1:76" s="279" customFormat="1" ht="36" customHeight="1">
      <c r="A164" s="277"/>
      <c r="B164" s="278"/>
      <c r="C164" s="392"/>
      <c r="D164" s="298" t="s">
        <v>218</v>
      </c>
      <c r="E164" s="303"/>
      <c r="F164" s="231" t="s">
        <v>219</v>
      </c>
      <c r="G164" s="231"/>
      <c r="H164" s="360"/>
      <c r="I164" s="255" t="str">
        <f>IF(OR(E164="x",F164="x"),"Condition ou annulation","")</f>
        <v>Condition ou annulation</v>
      </c>
      <c r="J164" s="360"/>
      <c r="K164" s="412"/>
      <c r="L164" s="277"/>
      <c r="M164" s="277"/>
      <c r="N164" s="277"/>
      <c r="O164" s="277"/>
      <c r="P164" s="277"/>
      <c r="Q164" s="277"/>
      <c r="R164" s="277"/>
      <c r="S164" s="277"/>
      <c r="T164" s="277"/>
      <c r="U164" s="277"/>
      <c r="V164" s="277"/>
      <c r="W164" s="277"/>
      <c r="X164" s="277"/>
      <c r="Y164" s="277"/>
      <c r="Z164" s="277"/>
      <c r="AA164" s="277"/>
      <c r="AB164" s="277"/>
      <c r="AC164" s="277"/>
      <c r="AD164" s="277"/>
      <c r="AE164" s="277"/>
      <c r="AF164" s="277"/>
      <c r="AG164" s="277"/>
      <c r="AH164" s="277"/>
      <c r="AI164" s="277"/>
      <c r="AJ164" s="277"/>
      <c r="AK164" s="277"/>
      <c r="AL164" s="277"/>
      <c r="AM164" s="277"/>
      <c r="AN164" s="277"/>
      <c r="AO164" s="277"/>
      <c r="AP164" s="277"/>
      <c r="AQ164" s="277"/>
      <c r="AR164" s="277"/>
      <c r="AS164" s="277"/>
      <c r="AT164" s="277"/>
      <c r="AU164" s="277"/>
      <c r="AV164" s="277"/>
      <c r="AW164" s="277"/>
      <c r="AX164" s="277"/>
      <c r="AY164" s="277"/>
      <c r="AZ164" s="277"/>
      <c r="BA164" s="277"/>
      <c r="BB164" s="277"/>
      <c r="BC164" s="277"/>
      <c r="BD164" s="277"/>
      <c r="BE164" s="277"/>
      <c r="BF164" s="277"/>
      <c r="BG164" s="277"/>
      <c r="BH164" s="277"/>
      <c r="BI164" s="277"/>
      <c r="BJ164" s="277"/>
      <c r="BK164" s="277"/>
      <c r="BL164" s="277"/>
      <c r="BM164" s="277"/>
      <c r="BN164" s="277"/>
      <c r="BO164" s="277"/>
      <c r="BP164" s="277"/>
      <c r="BQ164" s="277"/>
      <c r="BR164" s="277"/>
      <c r="BS164" s="277"/>
      <c r="BT164" s="277"/>
      <c r="BU164" s="277"/>
      <c r="BV164" s="277"/>
      <c r="BW164" s="277"/>
      <c r="BX164" s="277"/>
    </row>
    <row r="165" spans="1:76" s="279" customFormat="1" ht="95.45" customHeight="1">
      <c r="A165" s="277"/>
      <c r="B165" s="278"/>
      <c r="C165" s="411">
        <v>5.7</v>
      </c>
      <c r="D165" s="270" t="s">
        <v>1639</v>
      </c>
      <c r="E165" s="303"/>
      <c r="F165" s="231" t="s">
        <v>220</v>
      </c>
      <c r="G165" s="231"/>
      <c r="H165" s="360"/>
      <c r="I165" s="255" t="str">
        <f>IF(OR(E165="x",F165="x"),"Demande supplémentaire ou annulation","")</f>
        <v>Demande supplémentaire ou annulation</v>
      </c>
      <c r="J165" s="360"/>
      <c r="K165" s="412" t="s">
        <v>1631</v>
      </c>
      <c r="L165" s="277"/>
      <c r="M165" s="277"/>
      <c r="N165" s="277"/>
      <c r="O165" s="277"/>
      <c r="P165" s="277"/>
      <c r="Q165" s="277"/>
      <c r="R165" s="277"/>
      <c r="S165" s="277"/>
      <c r="T165" s="277"/>
      <c r="U165" s="277"/>
      <c r="V165" s="277"/>
      <c r="W165" s="277"/>
      <c r="X165" s="277"/>
      <c r="Y165" s="277"/>
      <c r="Z165" s="277"/>
      <c r="AA165" s="277"/>
      <c r="AB165" s="277"/>
      <c r="AC165" s="277"/>
      <c r="AD165" s="277"/>
      <c r="AE165" s="277"/>
      <c r="AF165" s="277"/>
      <c r="AG165" s="277"/>
      <c r="AH165" s="277"/>
      <c r="AI165" s="277"/>
      <c r="AJ165" s="277"/>
      <c r="AK165" s="277"/>
      <c r="AL165" s="277"/>
      <c r="AM165" s="277"/>
      <c r="AN165" s="277"/>
      <c r="AO165" s="277"/>
      <c r="AP165" s="277"/>
      <c r="AQ165" s="277"/>
      <c r="AR165" s="277"/>
      <c r="AS165" s="277"/>
      <c r="AT165" s="277"/>
      <c r="AU165" s="277"/>
      <c r="AV165" s="277"/>
      <c r="AW165" s="277"/>
      <c r="AX165" s="277"/>
      <c r="AY165" s="277"/>
      <c r="AZ165" s="277"/>
      <c r="BA165" s="277"/>
      <c r="BB165" s="277"/>
      <c r="BC165" s="277"/>
      <c r="BD165" s="277"/>
      <c r="BE165" s="277"/>
      <c r="BF165" s="277"/>
      <c r="BG165" s="277"/>
      <c r="BH165" s="277"/>
      <c r="BI165" s="277"/>
      <c r="BJ165" s="277"/>
      <c r="BK165" s="277"/>
      <c r="BL165" s="277"/>
      <c r="BM165" s="277"/>
      <c r="BN165" s="277"/>
      <c r="BO165" s="277"/>
      <c r="BP165" s="277"/>
      <c r="BQ165" s="277"/>
      <c r="BR165" s="277"/>
      <c r="BS165" s="277"/>
      <c r="BT165" s="277"/>
      <c r="BU165" s="277"/>
      <c r="BV165" s="277"/>
      <c r="BW165" s="277"/>
      <c r="BX165" s="277"/>
    </row>
    <row r="166" spans="1:76" s="279" customFormat="1" ht="33" customHeight="1">
      <c r="A166" s="277"/>
      <c r="B166" s="278"/>
      <c r="C166" s="392"/>
      <c r="D166" s="298" t="s">
        <v>1640</v>
      </c>
      <c r="E166" s="303"/>
      <c r="F166" s="231" t="s">
        <v>221</v>
      </c>
      <c r="G166" s="231"/>
      <c r="H166" s="360"/>
      <c r="I166" s="255" t="str">
        <f>IF(OR(E166="x",F166="x"),"Condition ou annulation","")</f>
        <v>Condition ou annulation</v>
      </c>
      <c r="J166" s="360"/>
      <c r="K166" s="412"/>
      <c r="L166" s="277"/>
      <c r="M166" s="277"/>
      <c r="N166" s="277"/>
      <c r="O166" s="277"/>
      <c r="P166" s="277"/>
      <c r="Q166" s="277"/>
      <c r="R166" s="277"/>
      <c r="S166" s="277"/>
      <c r="T166" s="277"/>
      <c r="U166" s="277"/>
      <c r="V166" s="277"/>
      <c r="W166" s="277"/>
      <c r="X166" s="277"/>
      <c r="Y166" s="277"/>
      <c r="Z166" s="277"/>
      <c r="AA166" s="277"/>
      <c r="AB166" s="277"/>
      <c r="AC166" s="277"/>
      <c r="AD166" s="277"/>
      <c r="AE166" s="277"/>
      <c r="AF166" s="277"/>
      <c r="AG166" s="277"/>
      <c r="AH166" s="277"/>
      <c r="AI166" s="277"/>
      <c r="AJ166" s="277"/>
      <c r="AK166" s="277"/>
      <c r="AL166" s="277"/>
      <c r="AM166" s="277"/>
      <c r="AN166" s="277"/>
      <c r="AO166" s="277"/>
      <c r="AP166" s="277"/>
      <c r="AQ166" s="277"/>
      <c r="AR166" s="277"/>
      <c r="AS166" s="277"/>
      <c r="AT166" s="277"/>
      <c r="AU166" s="277"/>
      <c r="AV166" s="277"/>
      <c r="AW166" s="277"/>
      <c r="AX166" s="277"/>
      <c r="AY166" s="277"/>
      <c r="AZ166" s="277"/>
      <c r="BA166" s="277"/>
      <c r="BB166" s="277"/>
      <c r="BC166" s="277"/>
      <c r="BD166" s="277"/>
      <c r="BE166" s="277"/>
      <c r="BF166" s="277"/>
      <c r="BG166" s="277"/>
      <c r="BH166" s="277"/>
      <c r="BI166" s="277"/>
      <c r="BJ166" s="277"/>
      <c r="BK166" s="277"/>
      <c r="BL166" s="277"/>
      <c r="BM166" s="277"/>
      <c r="BN166" s="277"/>
      <c r="BO166" s="277"/>
      <c r="BP166" s="277"/>
      <c r="BQ166" s="277"/>
      <c r="BR166" s="277"/>
      <c r="BS166" s="277"/>
      <c r="BT166" s="277"/>
      <c r="BU166" s="277"/>
      <c r="BV166" s="277"/>
      <c r="BW166" s="277"/>
      <c r="BX166" s="277"/>
    </row>
    <row r="167" spans="1:76" s="279" customFormat="1" ht="69" customHeight="1">
      <c r="A167" s="277"/>
      <c r="B167" s="278"/>
      <c r="C167" s="353">
        <v>5.8</v>
      </c>
      <c r="D167" s="270" t="s">
        <v>1641</v>
      </c>
      <c r="E167" s="303"/>
      <c r="F167" s="231" t="s">
        <v>222</v>
      </c>
      <c r="G167" s="231"/>
      <c r="H167" s="360"/>
      <c r="I167" s="255" t="str">
        <f>IF(OR(E167="x",F167="x"),"Demande supplémentaire ou annulation","")</f>
        <v>Demande supplémentaire ou annulation</v>
      </c>
      <c r="J167" s="360"/>
      <c r="K167" s="240" t="s">
        <v>1631</v>
      </c>
      <c r="L167" s="277"/>
      <c r="M167" s="277"/>
      <c r="N167" s="277"/>
      <c r="O167" s="277"/>
      <c r="P167" s="277"/>
      <c r="Q167" s="277"/>
      <c r="R167" s="277"/>
      <c r="S167" s="277"/>
      <c r="T167" s="277"/>
      <c r="U167" s="277"/>
      <c r="V167" s="277"/>
      <c r="W167" s="277"/>
      <c r="X167" s="277"/>
      <c r="Y167" s="277"/>
      <c r="Z167" s="277"/>
      <c r="AA167" s="277"/>
      <c r="AB167" s="277"/>
      <c r="AC167" s="277"/>
      <c r="AD167" s="277"/>
      <c r="AE167" s="277"/>
      <c r="AF167" s="277"/>
      <c r="AG167" s="277"/>
      <c r="AH167" s="277"/>
      <c r="AI167" s="277"/>
      <c r="AJ167" s="277"/>
      <c r="AK167" s="277"/>
      <c r="AL167" s="277"/>
      <c r="AM167" s="277"/>
      <c r="AN167" s="277"/>
      <c r="AO167" s="277"/>
      <c r="AP167" s="277"/>
      <c r="AQ167" s="277"/>
      <c r="AR167" s="277"/>
      <c r="AS167" s="277"/>
      <c r="AT167" s="277"/>
      <c r="AU167" s="277"/>
      <c r="AV167" s="277"/>
      <c r="AW167" s="277"/>
      <c r="AX167" s="277"/>
      <c r="AY167" s="277"/>
      <c r="AZ167" s="277"/>
      <c r="BA167" s="277"/>
      <c r="BB167" s="277"/>
      <c r="BC167" s="277"/>
      <c r="BD167" s="277"/>
      <c r="BE167" s="277"/>
      <c r="BF167" s="277"/>
      <c r="BG167" s="277"/>
      <c r="BH167" s="277"/>
      <c r="BI167" s="277"/>
      <c r="BJ167" s="277"/>
      <c r="BK167" s="277"/>
      <c r="BL167" s="277"/>
      <c r="BM167" s="277"/>
      <c r="BN167" s="277"/>
      <c r="BO167" s="277"/>
      <c r="BP167" s="277"/>
      <c r="BQ167" s="277"/>
      <c r="BR167" s="277"/>
      <c r="BS167" s="277"/>
      <c r="BT167" s="277"/>
      <c r="BU167" s="277"/>
      <c r="BV167" s="277"/>
      <c r="BW167" s="277"/>
      <c r="BX167" s="277"/>
    </row>
    <row r="168" spans="1:76" ht="31.5" customHeight="1">
      <c r="A168" s="1"/>
      <c r="B168" s="5"/>
      <c r="C168" s="280"/>
      <c r="D168" s="281"/>
      <c r="E168" s="304"/>
      <c r="F168" s="304"/>
      <c r="G168" s="281"/>
      <c r="H168" s="282"/>
      <c r="I168" s="282"/>
      <c r="J168" s="282"/>
      <c r="K168" s="283"/>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row>
    <row r="169" spans="1:76" ht="32.450000000000003" customHeight="1">
      <c r="A169" s="1"/>
      <c r="B169" s="5"/>
      <c r="C169" s="11" t="s">
        <v>223</v>
      </c>
      <c r="D169" s="13"/>
      <c r="E169" s="301"/>
      <c r="F169" s="301"/>
      <c r="G169" s="259"/>
      <c r="H169" s="260"/>
      <c r="I169" s="260"/>
      <c r="J169" s="260"/>
      <c r="K169" s="26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row>
    <row r="170" spans="1:76" ht="72" customHeight="1">
      <c r="A170" s="1"/>
      <c r="B170" s="5"/>
      <c r="C170" s="408" t="s">
        <v>1665</v>
      </c>
      <c r="D170" s="409"/>
      <c r="E170" s="409"/>
      <c r="F170" s="409"/>
      <c r="G170" s="409"/>
      <c r="H170" s="409"/>
      <c r="I170" s="409"/>
      <c r="J170" s="409"/>
      <c r="K170" s="410"/>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row>
    <row r="171" spans="1:76" ht="27" customHeight="1">
      <c r="A171" s="1"/>
      <c r="B171" s="5"/>
      <c r="C171" s="456" t="s">
        <v>1642</v>
      </c>
      <c r="D171" s="436"/>
      <c r="E171" s="415" t="s">
        <v>224</v>
      </c>
      <c r="F171" s="416"/>
      <c r="G171" s="417"/>
      <c r="H171" s="433" t="s">
        <v>225</v>
      </c>
      <c r="I171" s="422" t="s">
        <v>1514</v>
      </c>
      <c r="J171" s="422" t="s">
        <v>1516</v>
      </c>
      <c r="K171" s="406" t="s">
        <v>226</v>
      </c>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row>
    <row r="172" spans="1:76" ht="27.75" customHeight="1">
      <c r="A172" s="1"/>
      <c r="B172" s="5"/>
      <c r="C172" s="457"/>
      <c r="D172" s="436"/>
      <c r="E172" s="314" t="s">
        <v>227</v>
      </c>
      <c r="F172" s="315" t="s">
        <v>228</v>
      </c>
      <c r="G172" s="315" t="s">
        <v>229</v>
      </c>
      <c r="H172" s="434"/>
      <c r="I172" s="423"/>
      <c r="J172" s="423"/>
      <c r="K172" s="407"/>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row>
    <row r="173" spans="1:76" ht="409.5" customHeight="1">
      <c r="A173" s="242"/>
      <c r="B173" s="5"/>
      <c r="C173" s="391">
        <v>6.1</v>
      </c>
      <c r="D173" s="272" t="s">
        <v>2130</v>
      </c>
      <c r="E173" s="231"/>
      <c r="F173" s="231" t="s">
        <v>230</v>
      </c>
      <c r="G173" s="231"/>
      <c r="H173" s="268" t="s">
        <v>1644</v>
      </c>
      <c r="I173" s="255" t="str">
        <f>IF(OR(E173="x",F173="x"),"Demande supplémentaire ou annulation","")</f>
        <v>Demande supplémentaire ou annulation</v>
      </c>
      <c r="J173" s="268"/>
      <c r="K173" s="393" t="s">
        <v>1643</v>
      </c>
      <c r="L173" s="1"/>
      <c r="M173" s="369"/>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row>
    <row r="174" spans="1:76" ht="52.5" customHeight="1">
      <c r="A174" s="1"/>
      <c r="B174" s="5"/>
      <c r="C174" s="392"/>
      <c r="D174" s="349" t="s">
        <v>1645</v>
      </c>
      <c r="E174" s="231"/>
      <c r="F174" s="231" t="s">
        <v>231</v>
      </c>
      <c r="G174" s="231"/>
      <c r="H174" s="268"/>
      <c r="I174" s="255" t="str">
        <f>IF(OR(E174="x",F174="x"),"Demande supplémentaire ou annulation","")</f>
        <v>Demande supplémentaire ou annulation</v>
      </c>
      <c r="J174" s="268"/>
      <c r="K174" s="394"/>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row>
    <row r="175" spans="1:76" ht="215.1" customHeight="1">
      <c r="A175" s="310"/>
      <c r="B175" s="5"/>
      <c r="C175" s="411">
        <v>6.2</v>
      </c>
      <c r="D175" s="272" t="s">
        <v>2088</v>
      </c>
      <c r="E175" s="231"/>
      <c r="F175" s="231" t="s">
        <v>232</v>
      </c>
      <c r="G175" s="231"/>
      <c r="H175" s="268"/>
      <c r="I175" s="255" t="str">
        <f>IF(OR(E175="x",F175="x"),"Condition ou annulation","")</f>
        <v>Condition ou annulation</v>
      </c>
      <c r="J175" s="268"/>
      <c r="K175" s="255" t="s">
        <v>1643</v>
      </c>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row>
    <row r="176" spans="1:76" ht="72" customHeight="1">
      <c r="A176" s="1"/>
      <c r="B176" s="5"/>
      <c r="C176" s="391"/>
      <c r="D176" s="349" t="s">
        <v>1646</v>
      </c>
      <c r="E176" s="231"/>
      <c r="F176" s="231" t="s">
        <v>233</v>
      </c>
      <c r="G176" s="231"/>
      <c r="H176" s="268"/>
      <c r="I176" s="255" t="str">
        <f>IF(OR(E176="x",F176="x"),"Demande supplémentaire ou annulation","")</f>
        <v>Demande supplémentaire ou annulation</v>
      </c>
      <c r="J176" s="268"/>
      <c r="K176" s="393" t="s">
        <v>1649</v>
      </c>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row>
    <row r="177" spans="1:76" ht="63.95" customHeight="1">
      <c r="A177" s="1"/>
      <c r="B177" s="5"/>
      <c r="C177" s="391"/>
      <c r="D177" s="349" t="s">
        <v>1647</v>
      </c>
      <c r="E177" s="231"/>
      <c r="F177" s="231" t="s">
        <v>234</v>
      </c>
      <c r="G177" s="231"/>
      <c r="H177" s="268"/>
      <c r="I177" s="255" t="str">
        <f>IF(OR(E177="x",F177="x"),"Condition ou annulation","")</f>
        <v>Condition ou annulation</v>
      </c>
      <c r="J177" s="268"/>
      <c r="K177" s="394"/>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row>
    <row r="178" spans="1:76" ht="63.95" customHeight="1">
      <c r="A178" s="1"/>
      <c r="B178" s="5"/>
      <c r="C178" s="392"/>
      <c r="D178" s="349" t="s">
        <v>1648</v>
      </c>
      <c r="E178" s="231"/>
      <c r="F178" s="231" t="s">
        <v>1635</v>
      </c>
      <c r="G178" s="231"/>
      <c r="H178" s="268"/>
      <c r="I178" s="255" t="str">
        <f>IF(OR(E178="x",F178="x"),"Demande supplémentaire ou annulation","")</f>
        <v>Demande supplémentaire ou annulation</v>
      </c>
      <c r="J178" s="268"/>
      <c r="K178" s="368"/>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row>
    <row r="179" spans="1:76" ht="168.75" customHeight="1">
      <c r="A179" s="1"/>
      <c r="B179" s="5"/>
      <c r="C179" s="391">
        <v>6.3</v>
      </c>
      <c r="D179" s="256" t="s">
        <v>1666</v>
      </c>
      <c r="E179" s="231"/>
      <c r="F179" s="231" t="s">
        <v>235</v>
      </c>
      <c r="G179" s="231"/>
      <c r="H179" s="268"/>
      <c r="I179" s="255" t="str">
        <f>IF(OR(E179="x",F179="x"),"Condition ou annulation","")</f>
        <v>Condition ou annulation</v>
      </c>
      <c r="J179" s="268"/>
      <c r="K179" s="255" t="s">
        <v>1643</v>
      </c>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row>
    <row r="180" spans="1:76" ht="149.44999999999999" customHeight="1">
      <c r="A180" s="1"/>
      <c r="B180" s="5"/>
      <c r="C180" s="392"/>
      <c r="D180" s="298" t="s">
        <v>2089</v>
      </c>
      <c r="E180" s="231"/>
      <c r="F180" s="231" t="s">
        <v>236</v>
      </c>
      <c r="G180" s="231"/>
      <c r="H180" s="268"/>
      <c r="I180" s="255" t="str">
        <f>IF(OR(E180="x",F180="x"),"Demande supplémentaire ou annulation","")</f>
        <v>Demande supplémentaire ou annulation</v>
      </c>
      <c r="J180" s="268"/>
      <c r="K180" s="240"/>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row>
    <row r="181" spans="1:76" ht="48.95" customHeight="1">
      <c r="A181" s="1"/>
      <c r="B181" s="5"/>
      <c r="C181" s="309"/>
      <c r="D181" s="310"/>
      <c r="E181" s="304"/>
      <c r="F181" s="304"/>
      <c r="G181" s="281"/>
      <c r="H181" s="282"/>
      <c r="I181" s="282"/>
      <c r="J181" s="282"/>
      <c r="K181" s="283"/>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row>
    <row r="182" spans="1:76" ht="32.25" customHeight="1">
      <c r="A182" s="1"/>
      <c r="B182" s="5"/>
      <c r="C182" s="280"/>
      <c r="D182" s="310"/>
      <c r="E182" s="304"/>
      <c r="F182" s="304"/>
      <c r="G182" s="281"/>
      <c r="H182" s="282"/>
      <c r="I182" s="282"/>
      <c r="J182" s="282"/>
      <c r="K182" s="283"/>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row>
    <row r="183" spans="1:76" ht="73.5" customHeight="1">
      <c r="A183" s="1"/>
      <c r="B183" s="5"/>
      <c r="C183" s="280"/>
      <c r="D183" s="365"/>
      <c r="E183" s="304"/>
      <c r="F183" s="304"/>
      <c r="G183" s="281"/>
      <c r="H183" s="282"/>
      <c r="I183" s="282"/>
      <c r="J183" s="282"/>
      <c r="K183" s="283"/>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row>
    <row r="184" spans="1:76">
      <c r="A184" s="1"/>
      <c r="B184" s="5"/>
      <c r="C184" s="280"/>
      <c r="D184" s="281"/>
      <c r="E184" s="304"/>
      <c r="F184" s="304"/>
      <c r="G184" s="281"/>
      <c r="H184" s="282"/>
      <c r="I184" s="282"/>
      <c r="J184" s="282"/>
      <c r="K184" s="283"/>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row>
    <row r="185" spans="1:76">
      <c r="A185" s="1"/>
      <c r="B185" s="5"/>
      <c r="C185" s="280"/>
      <c r="D185" s="281"/>
      <c r="E185" s="304"/>
      <c r="F185" s="304"/>
      <c r="G185" s="281"/>
      <c r="H185" s="282"/>
      <c r="I185" s="282"/>
      <c r="J185" s="282"/>
      <c r="K185" s="283"/>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row>
    <row r="186" spans="1:76" ht="295.5" customHeight="1">
      <c r="A186" s="1"/>
      <c r="B186" s="5"/>
      <c r="C186" s="280"/>
      <c r="D186" s="310"/>
      <c r="E186" s="304"/>
      <c r="F186" s="304"/>
      <c r="G186" s="281"/>
      <c r="H186" s="282"/>
      <c r="I186" s="282"/>
      <c r="J186" s="282"/>
      <c r="K186" s="283"/>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row>
    <row r="187" spans="1:76">
      <c r="A187" s="1"/>
      <c r="B187" s="5"/>
      <c r="C187" s="280"/>
      <c r="D187" s="282"/>
      <c r="E187" s="304"/>
      <c r="F187" s="304"/>
      <c r="G187" s="281"/>
      <c r="H187" s="282"/>
      <c r="I187" s="282"/>
      <c r="J187" s="282"/>
      <c r="K187" s="283"/>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row>
    <row r="188" spans="1:76">
      <c r="A188" s="1"/>
      <c r="B188" s="5"/>
      <c r="C188" s="280"/>
      <c r="D188" s="281"/>
      <c r="E188" s="304"/>
      <c r="F188" s="304"/>
      <c r="G188" s="281"/>
      <c r="H188" s="282"/>
      <c r="I188" s="282"/>
      <c r="J188" s="282"/>
      <c r="K188" s="283"/>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row>
    <row r="189" spans="1:76">
      <c r="A189" s="1"/>
      <c r="B189" s="5"/>
      <c r="C189" s="280"/>
      <c r="D189" s="281"/>
      <c r="E189" s="304"/>
      <c r="F189" s="304"/>
      <c r="G189" s="281"/>
      <c r="H189" s="282"/>
      <c r="I189" s="282"/>
      <c r="J189" s="282"/>
      <c r="K189" s="283"/>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row>
    <row r="190" spans="1:76" ht="96" customHeight="1">
      <c r="A190" s="1"/>
      <c r="B190" s="5"/>
      <c r="C190" s="280"/>
      <c r="D190" s="310"/>
      <c r="E190" s="304"/>
      <c r="F190" s="304"/>
      <c r="G190" s="281"/>
      <c r="H190" s="282"/>
      <c r="I190" s="282"/>
      <c r="J190" s="282"/>
      <c r="K190" s="283"/>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row>
    <row r="191" spans="1:76">
      <c r="A191" s="1"/>
      <c r="B191" s="5"/>
      <c r="C191" s="280"/>
      <c r="D191" s="281"/>
      <c r="E191" s="304"/>
      <c r="F191" s="304"/>
      <c r="G191" s="281"/>
      <c r="H191" s="282"/>
      <c r="I191" s="282"/>
      <c r="J191" s="282"/>
      <c r="K191" s="283"/>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row>
    <row r="192" spans="1:76">
      <c r="A192" s="1"/>
      <c r="B192" s="5"/>
      <c r="C192" s="280"/>
      <c r="D192" s="281"/>
      <c r="E192" s="304"/>
      <c r="F192" s="304"/>
      <c r="G192" s="281"/>
      <c r="H192" s="282"/>
      <c r="I192" s="282"/>
      <c r="J192" s="282"/>
      <c r="K192" s="283"/>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row>
    <row r="193" spans="1:76">
      <c r="A193" s="1"/>
      <c r="B193" s="5"/>
      <c r="C193" s="280"/>
      <c r="D193" s="281"/>
      <c r="E193" s="304"/>
      <c r="F193" s="304"/>
      <c r="G193" s="281"/>
      <c r="H193" s="282"/>
      <c r="I193" s="282"/>
      <c r="J193" s="282"/>
      <c r="K193" s="283"/>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row>
    <row r="194" spans="1:76">
      <c r="A194" s="1"/>
      <c r="B194" s="5"/>
      <c r="C194" s="280"/>
      <c r="D194" s="281"/>
      <c r="E194" s="304"/>
      <c r="F194" s="304"/>
      <c r="G194" s="281"/>
      <c r="H194" s="282"/>
      <c r="I194" s="282"/>
      <c r="J194" s="282"/>
      <c r="K194" s="283"/>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row>
    <row r="195" spans="1:76">
      <c r="A195" s="1"/>
      <c r="B195" s="5"/>
      <c r="C195" s="280"/>
      <c r="D195" s="281"/>
      <c r="E195" s="304"/>
      <c r="F195" s="304"/>
      <c r="G195" s="281"/>
      <c r="H195" s="282"/>
      <c r="I195" s="282"/>
      <c r="J195" s="282"/>
      <c r="K195" s="283"/>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row>
    <row r="196" spans="1:76">
      <c r="A196" s="1"/>
      <c r="B196" s="5"/>
      <c r="C196" s="280"/>
      <c r="D196" s="281"/>
      <c r="E196" s="304"/>
      <c r="F196" s="304"/>
      <c r="G196" s="281"/>
      <c r="H196" s="282"/>
      <c r="I196" s="282"/>
      <c r="J196" s="282"/>
      <c r="K196" s="283"/>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row>
    <row r="197" spans="1:76">
      <c r="A197" s="1"/>
      <c r="B197" s="5"/>
      <c r="C197" s="280"/>
      <c r="D197" s="281"/>
      <c r="E197" s="304"/>
      <c r="F197" s="304"/>
      <c r="G197" s="281"/>
      <c r="H197" s="282"/>
      <c r="I197" s="282"/>
      <c r="J197" s="282"/>
      <c r="K197" s="283"/>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row>
    <row r="198" spans="1:76">
      <c r="A198" s="1"/>
      <c r="B198" s="5"/>
      <c r="C198" s="280"/>
      <c r="D198" s="281"/>
      <c r="E198" s="304"/>
      <c r="F198" s="304"/>
      <c r="G198" s="281"/>
      <c r="H198" s="282"/>
      <c r="I198" s="282"/>
      <c r="J198" s="282"/>
      <c r="K198" s="283"/>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row>
    <row r="199" spans="1:76">
      <c r="A199" s="1"/>
      <c r="B199" s="5"/>
      <c r="C199" s="280"/>
      <c r="D199" s="281"/>
      <c r="E199" s="304"/>
      <c r="F199" s="304"/>
      <c r="G199" s="281"/>
      <c r="H199" s="282"/>
      <c r="I199" s="282"/>
      <c r="J199" s="282"/>
      <c r="K199" s="283"/>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row>
    <row r="200" spans="1:76">
      <c r="A200" s="1"/>
      <c r="B200" s="5"/>
      <c r="C200" s="280"/>
      <c r="D200" s="281"/>
      <c r="E200" s="304"/>
      <c r="F200" s="304"/>
      <c r="G200" s="281"/>
      <c r="H200" s="282"/>
      <c r="I200" s="282"/>
      <c r="J200" s="282"/>
      <c r="K200" s="283"/>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row>
    <row r="201" spans="1:76">
      <c r="A201" s="1"/>
      <c r="B201" s="5"/>
      <c r="C201" s="280"/>
      <c r="D201" s="281"/>
      <c r="E201" s="304"/>
      <c r="F201" s="304"/>
      <c r="G201" s="281"/>
      <c r="H201" s="282"/>
      <c r="I201" s="282"/>
      <c r="J201" s="282"/>
      <c r="K201" s="283"/>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row>
    <row r="202" spans="1:76">
      <c r="A202" s="1"/>
      <c r="B202" s="5"/>
      <c r="C202" s="280"/>
      <c r="D202" s="281"/>
      <c r="E202" s="304"/>
      <c r="F202" s="304"/>
      <c r="G202" s="281"/>
      <c r="H202" s="282"/>
      <c r="I202" s="282"/>
      <c r="J202" s="282"/>
      <c r="K202" s="283"/>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row>
    <row r="203" spans="1:76">
      <c r="A203" s="1"/>
      <c r="B203" s="5"/>
      <c r="C203" s="280"/>
      <c r="D203" s="281"/>
      <c r="E203" s="304"/>
      <c r="F203" s="304"/>
      <c r="G203" s="281"/>
      <c r="H203" s="282"/>
      <c r="I203" s="282"/>
      <c r="J203" s="282"/>
      <c r="K203" s="283"/>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row>
    <row r="204" spans="1:76">
      <c r="A204" s="1"/>
      <c r="B204" s="5"/>
      <c r="C204" s="280"/>
      <c r="D204" s="281"/>
      <c r="E204" s="304"/>
      <c r="F204" s="304"/>
      <c r="G204" s="281"/>
      <c r="H204" s="282"/>
      <c r="I204" s="282"/>
      <c r="J204" s="282"/>
      <c r="K204" s="283"/>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row>
    <row r="205" spans="1:76">
      <c r="A205" s="1"/>
      <c r="B205" s="5"/>
      <c r="C205" s="280"/>
      <c r="D205" s="281"/>
      <c r="E205" s="304"/>
      <c r="F205" s="304"/>
      <c r="G205" s="281"/>
      <c r="H205" s="282"/>
      <c r="I205" s="282"/>
      <c r="J205" s="282"/>
      <c r="K205" s="283"/>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row>
    <row r="206" spans="1:76">
      <c r="A206" s="1"/>
      <c r="B206" s="5"/>
      <c r="C206" s="280"/>
      <c r="D206" s="281"/>
      <c r="E206" s="304"/>
      <c r="F206" s="304"/>
      <c r="G206" s="281"/>
      <c r="H206" s="282"/>
      <c r="I206" s="282"/>
      <c r="J206" s="282"/>
      <c r="K206" s="283"/>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row>
    <row r="207" spans="1:76">
      <c r="A207" s="1"/>
      <c r="B207" s="5"/>
      <c r="C207" s="280"/>
      <c r="D207" s="281"/>
      <c r="E207" s="304"/>
      <c r="F207" s="304"/>
      <c r="G207" s="281"/>
      <c r="H207" s="282"/>
      <c r="I207" s="282"/>
      <c r="J207" s="282"/>
      <c r="K207" s="283"/>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row>
    <row r="208" spans="1:76">
      <c r="A208" s="1"/>
      <c r="B208" s="5"/>
      <c r="C208" s="280"/>
      <c r="D208" s="281"/>
      <c r="E208" s="304"/>
      <c r="F208" s="304"/>
      <c r="G208" s="281"/>
      <c r="H208" s="282"/>
      <c r="I208" s="282"/>
      <c r="J208" s="282"/>
      <c r="K208" s="283"/>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row>
    <row r="209" spans="1:76">
      <c r="A209" s="1"/>
      <c r="B209" s="5"/>
      <c r="C209" s="280"/>
      <c r="D209" s="281"/>
      <c r="E209" s="304"/>
      <c r="F209" s="304"/>
      <c r="G209" s="281"/>
      <c r="H209" s="282"/>
      <c r="I209" s="282"/>
      <c r="J209" s="282"/>
      <c r="K209" s="283"/>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row>
    <row r="210" spans="1:76">
      <c r="A210" s="1"/>
      <c r="B210" s="5"/>
      <c r="C210" s="280"/>
      <c r="D210" s="281"/>
      <c r="E210" s="304"/>
      <c r="F210" s="304"/>
      <c r="G210" s="281"/>
      <c r="H210" s="282"/>
      <c r="I210" s="282"/>
      <c r="J210" s="282"/>
      <c r="K210" s="283"/>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row>
    <row r="211" spans="1:76">
      <c r="A211" s="1"/>
      <c r="B211" s="5"/>
      <c r="C211" s="280"/>
      <c r="D211" s="281"/>
      <c r="E211" s="304"/>
      <c r="F211" s="304"/>
      <c r="G211" s="281"/>
      <c r="H211" s="282"/>
      <c r="I211" s="282"/>
      <c r="J211" s="282"/>
      <c r="K211" s="283"/>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row>
    <row r="212" spans="1:76">
      <c r="A212" s="1"/>
      <c r="B212" s="5"/>
      <c r="C212" s="280"/>
      <c r="D212" s="281"/>
      <c r="E212" s="304"/>
      <c r="F212" s="304"/>
      <c r="G212" s="281"/>
      <c r="H212" s="282"/>
      <c r="I212" s="282"/>
      <c r="J212" s="282"/>
      <c r="K212" s="283"/>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row>
    <row r="213" spans="1:76">
      <c r="A213" s="1"/>
      <c r="B213" s="5"/>
      <c r="C213" s="280"/>
      <c r="D213" s="277"/>
      <c r="E213" s="305"/>
      <c r="F213" s="305"/>
      <c r="G213" s="277"/>
      <c r="H213" s="284"/>
      <c r="I213" s="284"/>
      <c r="J213" s="284"/>
      <c r="K213" s="285"/>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row>
    <row r="214" spans="1:76">
      <c r="A214" s="1"/>
      <c r="B214" s="5"/>
      <c r="C214" s="280"/>
      <c r="D214" s="277"/>
      <c r="E214" s="305"/>
      <c r="F214" s="305"/>
      <c r="G214" s="277"/>
      <c r="H214" s="284"/>
      <c r="I214" s="284"/>
      <c r="J214" s="284"/>
      <c r="K214" s="285"/>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row>
    <row r="215" spans="1:76">
      <c r="A215" s="1"/>
      <c r="B215" s="5"/>
      <c r="C215" s="280"/>
      <c r="D215" s="277"/>
      <c r="E215" s="305"/>
      <c r="F215" s="305"/>
      <c r="G215" s="277"/>
      <c r="H215" s="284"/>
      <c r="I215" s="284"/>
      <c r="J215" s="284"/>
      <c r="K215" s="285"/>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row>
    <row r="216" spans="1:76">
      <c r="A216" s="1"/>
      <c r="B216" s="5"/>
      <c r="C216" s="280"/>
      <c r="D216" s="277"/>
      <c r="E216" s="305"/>
      <c r="F216" s="305"/>
      <c r="G216" s="277"/>
      <c r="H216" s="284"/>
      <c r="I216" s="284"/>
      <c r="J216" s="284"/>
      <c r="K216" s="285"/>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row>
    <row r="217" spans="1:76">
      <c r="A217" s="1"/>
      <c r="B217" s="5"/>
      <c r="C217" s="280"/>
      <c r="D217" s="277"/>
      <c r="E217" s="305"/>
      <c r="F217" s="305"/>
      <c r="G217" s="277"/>
      <c r="H217" s="284"/>
      <c r="I217" s="284"/>
      <c r="J217" s="284"/>
      <c r="K217" s="285"/>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row>
    <row r="218" spans="1:76">
      <c r="A218" s="1"/>
      <c r="B218" s="5"/>
      <c r="C218" s="280"/>
      <c r="D218" s="277"/>
      <c r="E218" s="305"/>
      <c r="F218" s="305"/>
      <c r="G218" s="277"/>
      <c r="H218" s="284"/>
      <c r="I218" s="284"/>
      <c r="J218" s="284"/>
      <c r="K218" s="285"/>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row>
    <row r="219" spans="1:76">
      <c r="A219" s="1"/>
      <c r="B219" s="5"/>
      <c r="C219" s="280"/>
      <c r="D219" s="277"/>
      <c r="E219" s="305"/>
      <c r="F219" s="305"/>
      <c r="G219" s="277"/>
      <c r="H219" s="284"/>
      <c r="I219" s="284"/>
      <c r="J219" s="284"/>
      <c r="K219" s="285"/>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row>
    <row r="220" spans="1:76">
      <c r="A220" s="1"/>
      <c r="B220" s="5"/>
      <c r="C220" s="280"/>
      <c r="D220" s="277"/>
      <c r="E220" s="305"/>
      <c r="F220" s="305"/>
      <c r="G220" s="277"/>
      <c r="H220" s="284"/>
      <c r="I220" s="284"/>
      <c r="J220" s="284"/>
      <c r="K220" s="285"/>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row>
    <row r="221" spans="1:76">
      <c r="A221" s="1"/>
      <c r="B221" s="5"/>
      <c r="C221" s="280"/>
      <c r="D221" s="277"/>
      <c r="E221" s="305"/>
      <c r="F221" s="305"/>
      <c r="G221" s="277"/>
      <c r="H221" s="284"/>
      <c r="I221" s="284"/>
      <c r="J221" s="284"/>
      <c r="K221" s="285"/>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row>
    <row r="222" spans="1:76">
      <c r="A222" s="1"/>
      <c r="B222" s="5"/>
      <c r="C222" s="280"/>
      <c r="D222" s="277"/>
      <c r="E222" s="305"/>
      <c r="F222" s="305"/>
      <c r="G222" s="277"/>
      <c r="H222" s="284"/>
      <c r="I222" s="284"/>
      <c r="J222" s="284"/>
      <c r="K222" s="285"/>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row>
    <row r="223" spans="1:76">
      <c r="A223" s="1"/>
      <c r="B223" s="5"/>
      <c r="C223" s="280"/>
      <c r="D223" s="277"/>
      <c r="E223" s="305"/>
      <c r="F223" s="305"/>
      <c r="G223" s="277"/>
      <c r="H223" s="284"/>
      <c r="I223" s="284"/>
      <c r="J223" s="284"/>
      <c r="K223" s="285"/>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row>
    <row r="224" spans="1:76">
      <c r="A224" s="1"/>
      <c r="B224" s="5"/>
      <c r="C224" s="280"/>
      <c r="D224" s="277"/>
      <c r="E224" s="305"/>
      <c r="F224" s="305"/>
      <c r="G224" s="277"/>
      <c r="H224" s="284"/>
      <c r="I224" s="284"/>
      <c r="J224" s="284"/>
      <c r="K224" s="285"/>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row>
    <row r="225" spans="1:76">
      <c r="A225" s="1"/>
      <c r="B225" s="5"/>
      <c r="C225" s="280"/>
      <c r="D225" s="277"/>
      <c r="E225" s="305"/>
      <c r="F225" s="305"/>
      <c r="G225" s="277"/>
      <c r="H225" s="284"/>
      <c r="I225" s="284"/>
      <c r="J225" s="284"/>
      <c r="K225" s="285"/>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row>
    <row r="226" spans="1:76">
      <c r="A226" s="1"/>
      <c r="B226" s="5"/>
      <c r="C226" s="280"/>
      <c r="D226" s="277"/>
      <c r="E226" s="305"/>
      <c r="F226" s="305"/>
      <c r="G226" s="277"/>
      <c r="H226" s="284"/>
      <c r="I226" s="284"/>
      <c r="J226" s="284"/>
      <c r="K226" s="285"/>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row>
    <row r="227" spans="1:76">
      <c r="A227" s="1"/>
      <c r="B227" s="5"/>
      <c r="C227" s="280"/>
      <c r="D227" s="277"/>
      <c r="E227" s="305"/>
      <c r="F227" s="305"/>
      <c r="G227" s="277"/>
      <c r="H227" s="284"/>
      <c r="I227" s="284"/>
      <c r="J227" s="284"/>
      <c r="K227" s="285"/>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row>
    <row r="228" spans="1:76">
      <c r="A228" s="1"/>
      <c r="B228" s="5"/>
      <c r="C228" s="280"/>
      <c r="D228" s="277"/>
      <c r="E228" s="305"/>
      <c r="F228" s="305"/>
      <c r="G228" s="277"/>
      <c r="H228" s="284"/>
      <c r="I228" s="284"/>
      <c r="J228" s="284"/>
      <c r="K228" s="285"/>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row>
    <row r="229" spans="1:76">
      <c r="A229" s="1"/>
      <c r="B229" s="5"/>
      <c r="C229" s="280"/>
      <c r="D229" s="277"/>
      <c r="E229" s="305"/>
      <c r="F229" s="305"/>
      <c r="G229" s="277"/>
      <c r="H229" s="284"/>
      <c r="I229" s="284"/>
      <c r="J229" s="284"/>
      <c r="K229" s="285"/>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row>
    <row r="230" spans="1:76">
      <c r="A230" s="1"/>
      <c r="B230" s="5"/>
      <c r="C230" s="280"/>
      <c r="D230" s="277"/>
      <c r="E230" s="305"/>
      <c r="F230" s="305"/>
      <c r="G230" s="277"/>
      <c r="H230" s="284"/>
      <c r="I230" s="284"/>
      <c r="J230" s="284"/>
      <c r="K230" s="285"/>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row>
    <row r="231" spans="1:76">
      <c r="A231" s="1"/>
      <c r="B231" s="5"/>
      <c r="C231" s="280"/>
      <c r="D231" s="277"/>
      <c r="E231" s="305"/>
      <c r="F231" s="305"/>
      <c r="G231" s="277"/>
      <c r="H231" s="284"/>
      <c r="I231" s="284"/>
      <c r="J231" s="284"/>
      <c r="K231" s="285"/>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row>
    <row r="232" spans="1:76">
      <c r="A232" s="1"/>
      <c r="B232" s="5"/>
      <c r="C232" s="280"/>
      <c r="D232" s="277"/>
      <c r="E232" s="305"/>
      <c r="F232" s="305"/>
      <c r="G232" s="277"/>
      <c r="H232" s="284"/>
      <c r="I232" s="284"/>
      <c r="J232" s="284"/>
      <c r="K232" s="285"/>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row>
    <row r="233" spans="1:76">
      <c r="A233" s="1"/>
      <c r="B233" s="5"/>
      <c r="C233" s="280"/>
      <c r="D233" s="277"/>
      <c r="E233" s="305"/>
      <c r="F233" s="305"/>
      <c r="G233" s="277"/>
      <c r="H233" s="284"/>
      <c r="I233" s="284"/>
      <c r="J233" s="284"/>
      <c r="K233" s="285"/>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row>
    <row r="234" spans="1:76">
      <c r="A234" s="1"/>
      <c r="B234" s="5"/>
      <c r="C234" s="280"/>
      <c r="D234" s="277"/>
      <c r="E234" s="305"/>
      <c r="F234" s="305"/>
      <c r="G234" s="277"/>
      <c r="H234" s="284"/>
      <c r="I234" s="284"/>
      <c r="J234" s="284"/>
      <c r="K234" s="285"/>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row>
    <row r="235" spans="1:76">
      <c r="A235" s="1"/>
      <c r="B235" s="5"/>
      <c r="C235" s="241"/>
      <c r="D235" s="1"/>
      <c r="E235" s="300"/>
      <c r="F235" s="300"/>
      <c r="G235" s="1"/>
      <c r="H235" s="242"/>
      <c r="I235" s="242"/>
      <c r="J235" s="242"/>
      <c r="K235" s="9"/>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row>
    <row r="236" spans="1:76">
      <c r="A236" s="1"/>
      <c r="B236" s="5"/>
      <c r="C236" s="241"/>
      <c r="D236" s="1"/>
      <c r="E236" s="300"/>
      <c r="F236" s="300"/>
      <c r="G236" s="1"/>
      <c r="H236" s="242"/>
      <c r="I236" s="242"/>
      <c r="J236" s="242"/>
      <c r="K236" s="9"/>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row>
    <row r="237" spans="1:76">
      <c r="A237" s="1"/>
      <c r="B237" s="5"/>
      <c r="C237" s="241"/>
      <c r="D237" s="1"/>
      <c r="E237" s="300"/>
      <c r="F237" s="300"/>
      <c r="G237" s="1"/>
      <c r="H237" s="242"/>
      <c r="I237" s="242"/>
      <c r="J237" s="242"/>
      <c r="K237" s="9"/>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row>
    <row r="238" spans="1:76">
      <c r="A238" s="1"/>
      <c r="B238" s="5"/>
      <c r="C238" s="241"/>
      <c r="D238" s="1"/>
      <c r="E238" s="300"/>
      <c r="F238" s="300"/>
      <c r="G238" s="1"/>
      <c r="H238" s="242"/>
      <c r="I238" s="242"/>
      <c r="J238" s="242"/>
      <c r="K238" s="9"/>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row>
    <row r="239" spans="1:76">
      <c r="A239" s="1"/>
      <c r="B239" s="5"/>
      <c r="C239" s="241"/>
      <c r="D239" s="1"/>
      <c r="E239" s="300"/>
      <c r="F239" s="300"/>
      <c r="G239" s="1"/>
      <c r="H239" s="242"/>
      <c r="I239" s="242"/>
      <c r="J239" s="242"/>
      <c r="K239" s="9"/>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row>
    <row r="240" spans="1:76">
      <c r="A240" s="1"/>
      <c r="B240" s="5"/>
      <c r="C240" s="241"/>
      <c r="D240" s="1"/>
      <c r="E240" s="300"/>
      <c r="F240" s="300"/>
      <c r="G240" s="1"/>
      <c r="H240" s="242"/>
      <c r="I240" s="242"/>
      <c r="J240" s="242"/>
      <c r="K240" s="9"/>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row>
    <row r="241" spans="1:76">
      <c r="A241" s="1"/>
      <c r="B241" s="5"/>
      <c r="C241" s="241"/>
      <c r="D241" s="1"/>
      <c r="E241" s="300"/>
      <c r="F241" s="300"/>
      <c r="G241" s="1"/>
      <c r="H241" s="242"/>
      <c r="I241" s="242"/>
      <c r="J241" s="242"/>
      <c r="K241" s="9"/>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row>
    <row r="242" spans="1:76">
      <c r="A242" s="1"/>
      <c r="C242" s="241"/>
      <c r="D242" s="1"/>
      <c r="E242" s="300"/>
      <c r="F242" s="300"/>
      <c r="G242" s="1"/>
      <c r="H242" s="242"/>
      <c r="I242" s="242"/>
      <c r="J242" s="242"/>
      <c r="K242" s="9"/>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row>
    <row r="243" spans="1:76">
      <c r="A243" s="1"/>
      <c r="C243" s="241"/>
      <c r="D243" s="1"/>
      <c r="E243" s="300"/>
      <c r="F243" s="300"/>
      <c r="G243" s="1"/>
      <c r="H243" s="242"/>
      <c r="I243" s="242"/>
      <c r="J243" s="242"/>
      <c r="K243" s="9"/>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row>
    <row r="244" spans="1:76">
      <c r="A244" s="1"/>
      <c r="C244" s="241"/>
      <c r="D244" s="1"/>
      <c r="E244" s="300"/>
      <c r="F244" s="300"/>
      <c r="G244" s="1"/>
      <c r="H244" s="242"/>
      <c r="I244" s="242"/>
      <c r="J244" s="242"/>
      <c r="K244" s="9"/>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row>
    <row r="245" spans="1:76">
      <c r="A245" s="1"/>
      <c r="C245" s="241"/>
      <c r="D245" s="1"/>
      <c r="E245" s="300"/>
      <c r="F245" s="300"/>
      <c r="G245" s="1"/>
      <c r="H245" s="242"/>
      <c r="I245" s="242"/>
      <c r="J245" s="242"/>
      <c r="K245" s="9"/>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row>
    <row r="246" spans="1:76">
      <c r="A246" s="1"/>
      <c r="C246" s="241"/>
      <c r="D246" s="1"/>
      <c r="E246" s="300"/>
      <c r="F246" s="300"/>
      <c r="G246" s="1"/>
      <c r="H246" s="242"/>
      <c r="I246" s="242"/>
      <c r="J246" s="242"/>
      <c r="K246" s="9"/>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row>
    <row r="247" spans="1:76">
      <c r="A247" s="1"/>
      <c r="C247" s="241"/>
      <c r="D247" s="1"/>
      <c r="E247" s="300"/>
      <c r="F247" s="300"/>
      <c r="G247" s="1"/>
      <c r="H247" s="242"/>
      <c r="I247" s="242"/>
      <c r="J247" s="242"/>
      <c r="K247" s="9"/>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row>
    <row r="248" spans="1:76">
      <c r="A248" s="1"/>
      <c r="C248" s="241"/>
      <c r="D248" s="1"/>
      <c r="E248" s="300"/>
      <c r="F248" s="300"/>
      <c r="G248" s="1"/>
      <c r="H248" s="242"/>
      <c r="I248" s="242"/>
      <c r="J248" s="242"/>
      <c r="K248" s="9"/>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row>
    <row r="249" spans="1:76">
      <c r="A249" s="1"/>
      <c r="C249" s="241"/>
      <c r="D249" s="1"/>
      <c r="E249" s="300"/>
      <c r="F249" s="300"/>
      <c r="G249" s="1"/>
      <c r="H249" s="242"/>
      <c r="I249" s="242"/>
      <c r="J249" s="242"/>
      <c r="K249" s="9"/>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row>
    <row r="250" spans="1:76">
      <c r="A250" s="1"/>
      <c r="C250" s="241"/>
      <c r="D250" s="1"/>
      <c r="E250" s="300"/>
      <c r="F250" s="300"/>
      <c r="G250" s="1"/>
      <c r="H250" s="242"/>
      <c r="I250" s="242"/>
      <c r="J250" s="242"/>
      <c r="K250" s="9"/>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row>
    <row r="251" spans="1:76">
      <c r="A251" s="1"/>
      <c r="C251" s="241"/>
      <c r="D251" s="1"/>
      <c r="E251" s="300"/>
      <c r="F251" s="300"/>
      <c r="G251" s="1"/>
      <c r="H251" s="242"/>
      <c r="I251" s="242"/>
      <c r="J251" s="242"/>
      <c r="K251" s="9"/>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row>
    <row r="252" spans="1:76">
      <c r="A252" s="1"/>
      <c r="C252" s="241"/>
      <c r="D252" s="1"/>
      <c r="E252" s="300"/>
      <c r="F252" s="300"/>
      <c r="G252" s="1"/>
      <c r="H252" s="242"/>
      <c r="I252" s="242"/>
      <c r="J252" s="242"/>
      <c r="K252" s="9"/>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row>
    <row r="253" spans="1:76">
      <c r="A253" s="1"/>
      <c r="C253" s="241"/>
      <c r="D253" s="1"/>
      <c r="E253" s="300"/>
      <c r="F253" s="300"/>
      <c r="G253" s="1"/>
      <c r="H253" s="242"/>
      <c r="I253" s="242"/>
      <c r="J253" s="242"/>
      <c r="K253" s="9"/>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row>
    <row r="254" spans="1:76">
      <c r="A254" s="1"/>
      <c r="C254" s="241"/>
      <c r="D254" s="1"/>
      <c r="E254" s="300"/>
      <c r="F254" s="300"/>
      <c r="G254" s="1"/>
      <c r="H254" s="242"/>
      <c r="I254" s="242"/>
      <c r="J254" s="242"/>
      <c r="K254" s="9"/>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row>
    <row r="255" spans="1:76">
      <c r="A255" s="1"/>
      <c r="C255" s="241"/>
      <c r="D255" s="1"/>
      <c r="E255" s="300"/>
      <c r="F255" s="300"/>
      <c r="G255" s="1"/>
      <c r="H255" s="242"/>
      <c r="I255" s="242"/>
      <c r="J255" s="242"/>
      <c r="K255" s="9"/>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row>
    <row r="256" spans="1:76">
      <c r="A256" s="1"/>
      <c r="C256" s="241"/>
      <c r="D256" s="1"/>
      <c r="E256" s="300"/>
      <c r="F256" s="300"/>
      <c r="G256" s="1"/>
      <c r="H256" s="242"/>
      <c r="I256" s="242"/>
      <c r="J256" s="242"/>
      <c r="K256" s="9"/>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row>
    <row r="257" spans="1:76">
      <c r="A257" s="1"/>
      <c r="C257" s="241"/>
      <c r="D257" s="1"/>
      <c r="E257" s="300"/>
      <c r="F257" s="300"/>
      <c r="G257" s="1"/>
      <c r="H257" s="242"/>
      <c r="I257" s="242"/>
      <c r="J257" s="242"/>
      <c r="K257" s="9"/>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row>
    <row r="258" spans="1:76">
      <c r="A258" s="1"/>
      <c r="C258" s="241"/>
      <c r="D258" s="1"/>
      <c r="E258" s="300"/>
      <c r="F258" s="300"/>
      <c r="G258" s="1"/>
      <c r="H258" s="242"/>
      <c r="I258" s="242"/>
      <c r="J258" s="242"/>
      <c r="K258" s="9"/>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row>
    <row r="259" spans="1:76">
      <c r="A259" s="1"/>
      <c r="C259" s="241"/>
      <c r="D259" s="1"/>
      <c r="E259" s="300"/>
      <c r="F259" s="300"/>
      <c r="G259" s="1"/>
      <c r="H259" s="242"/>
      <c r="I259" s="242"/>
      <c r="J259" s="242"/>
      <c r="K259" s="9"/>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row>
    <row r="260" spans="1:76">
      <c r="A260" s="1"/>
      <c r="C260" s="241"/>
      <c r="D260" s="1"/>
      <c r="E260" s="300"/>
      <c r="F260" s="300"/>
      <c r="G260" s="1"/>
      <c r="H260" s="242"/>
      <c r="I260" s="242"/>
      <c r="J260" s="242"/>
      <c r="K260" s="9"/>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row>
    <row r="261" spans="1:76">
      <c r="A261" s="1"/>
      <c r="C261" s="241"/>
      <c r="D261" s="1"/>
      <c r="E261" s="300"/>
      <c r="F261" s="300"/>
      <c r="G261" s="1"/>
      <c r="H261" s="242"/>
      <c r="I261" s="242"/>
      <c r="J261" s="242"/>
      <c r="K261" s="9"/>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row>
    <row r="262" spans="1:76">
      <c r="A262" s="1"/>
      <c r="C262" s="241"/>
      <c r="D262" s="1"/>
      <c r="E262" s="300"/>
      <c r="F262" s="300"/>
      <c r="G262" s="1"/>
      <c r="H262" s="242"/>
      <c r="I262" s="242"/>
      <c r="J262" s="242"/>
      <c r="K262" s="9"/>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row>
    <row r="263" spans="1:76">
      <c r="A263" s="1"/>
      <c r="C263" s="241"/>
      <c r="D263" s="1"/>
      <c r="E263" s="300"/>
      <c r="F263" s="300"/>
      <c r="G263" s="1"/>
      <c r="H263" s="242"/>
      <c r="I263" s="242"/>
      <c r="J263" s="242"/>
      <c r="K263" s="9"/>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row>
    <row r="264" spans="1:76">
      <c r="A264" s="1"/>
      <c r="C264" s="241"/>
      <c r="D264" s="1"/>
      <c r="E264" s="300"/>
      <c r="F264" s="300"/>
      <c r="G264" s="1"/>
      <c r="H264" s="242"/>
      <c r="I264" s="242"/>
      <c r="J264" s="242"/>
      <c r="K264" s="9"/>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row>
    <row r="265" spans="1:76">
      <c r="A265" s="1"/>
      <c r="C265" s="241"/>
      <c r="D265" s="1"/>
      <c r="E265" s="300"/>
      <c r="F265" s="300"/>
      <c r="G265" s="1"/>
      <c r="H265" s="242"/>
      <c r="I265" s="242"/>
      <c r="J265" s="242"/>
      <c r="K265" s="9"/>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row>
    <row r="266" spans="1:76">
      <c r="A266" s="1"/>
      <c r="C266" s="241"/>
      <c r="D266" s="1"/>
      <c r="E266" s="300"/>
      <c r="F266" s="300"/>
      <c r="G266" s="1"/>
      <c r="H266" s="242"/>
      <c r="I266" s="242"/>
      <c r="J266" s="242"/>
      <c r="K266" s="9"/>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row>
    <row r="267" spans="1:76">
      <c r="A267" s="1"/>
      <c r="C267" s="241"/>
      <c r="D267" s="1"/>
      <c r="E267" s="300"/>
      <c r="F267" s="300"/>
      <c r="G267" s="1"/>
      <c r="H267" s="242"/>
      <c r="I267" s="242"/>
      <c r="J267" s="242"/>
      <c r="K267" s="9"/>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row>
    <row r="268" spans="1:76">
      <c r="A268" s="1"/>
      <c r="C268" s="241"/>
      <c r="D268" s="1"/>
      <c r="E268" s="300"/>
      <c r="F268" s="300"/>
      <c r="G268" s="1"/>
      <c r="H268" s="242"/>
      <c r="I268" s="242"/>
      <c r="J268" s="242"/>
      <c r="K268" s="9"/>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row>
    <row r="269" spans="1:76">
      <c r="A269" s="1"/>
      <c r="C269" s="241"/>
      <c r="D269" s="1"/>
      <c r="E269" s="300"/>
      <c r="F269" s="300"/>
      <c r="G269" s="1"/>
      <c r="H269" s="242"/>
      <c r="I269" s="242"/>
      <c r="J269" s="242"/>
      <c r="K269" s="9"/>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row>
    <row r="270" spans="1:76">
      <c r="A270" s="1"/>
      <c r="C270" s="241"/>
      <c r="D270" s="1"/>
      <c r="E270" s="300"/>
      <c r="F270" s="300"/>
      <c r="G270" s="1"/>
      <c r="H270" s="242"/>
      <c r="I270" s="242"/>
      <c r="J270" s="242"/>
      <c r="K270" s="9"/>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row>
    <row r="271" spans="1:76">
      <c r="A271" s="1"/>
      <c r="C271" s="241"/>
      <c r="D271" s="1"/>
      <c r="E271" s="300"/>
      <c r="F271" s="300"/>
      <c r="G271" s="1"/>
      <c r="H271" s="242"/>
      <c r="I271" s="242"/>
      <c r="J271" s="242"/>
      <c r="K271" s="9"/>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row>
    <row r="272" spans="1:76">
      <c r="A272" s="1"/>
      <c r="C272" s="241"/>
      <c r="D272" s="1"/>
      <c r="E272" s="300"/>
      <c r="F272" s="300"/>
      <c r="G272" s="1"/>
      <c r="H272" s="242"/>
      <c r="I272" s="242"/>
      <c r="J272" s="242"/>
      <c r="K272" s="9"/>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row>
    <row r="273" spans="1:76">
      <c r="A273" s="1"/>
      <c r="C273" s="241"/>
      <c r="D273" s="1"/>
      <c r="E273" s="300"/>
      <c r="F273" s="300"/>
      <c r="G273" s="1"/>
      <c r="H273" s="242"/>
      <c r="I273" s="242"/>
      <c r="J273" s="242"/>
      <c r="K273" s="9"/>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row>
    <row r="274" spans="1:76">
      <c r="A274" s="1"/>
      <c r="C274" s="241"/>
      <c r="D274" s="1"/>
      <c r="E274" s="300"/>
      <c r="F274" s="300"/>
      <c r="G274" s="1"/>
      <c r="H274" s="242"/>
      <c r="I274" s="242"/>
      <c r="J274" s="242"/>
      <c r="K274" s="9"/>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row>
    <row r="275" spans="1:76">
      <c r="A275" s="1"/>
      <c r="C275" s="241"/>
      <c r="D275" s="1"/>
      <c r="E275" s="300"/>
      <c r="F275" s="300"/>
      <c r="G275" s="1"/>
      <c r="H275" s="242"/>
      <c r="I275" s="242"/>
      <c r="J275" s="242"/>
      <c r="K275" s="9"/>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row>
    <row r="276" spans="1:76">
      <c r="A276" s="1"/>
      <c r="C276" s="241"/>
      <c r="D276" s="1"/>
      <c r="E276" s="300"/>
      <c r="F276" s="300"/>
      <c r="G276" s="1"/>
      <c r="H276" s="242"/>
      <c r="I276" s="242"/>
      <c r="J276" s="242"/>
      <c r="K276" s="9"/>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row>
    <row r="277" spans="1:76">
      <c r="A277" s="1"/>
      <c r="C277" s="241"/>
      <c r="D277" s="1"/>
      <c r="E277" s="300"/>
      <c r="F277" s="300"/>
      <c r="G277" s="1"/>
      <c r="H277" s="242"/>
      <c r="I277" s="242"/>
      <c r="J277" s="242"/>
      <c r="K277" s="9"/>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row>
    <row r="278" spans="1:76">
      <c r="A278" s="1"/>
      <c r="C278" s="241"/>
      <c r="D278" s="1"/>
      <c r="E278" s="300"/>
      <c r="F278" s="300"/>
      <c r="G278" s="1"/>
      <c r="H278" s="242"/>
      <c r="I278" s="242"/>
      <c r="J278" s="242"/>
      <c r="K278" s="9"/>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row>
    <row r="279" spans="1:76">
      <c r="A279" s="1"/>
      <c r="C279" s="241"/>
      <c r="D279" s="1"/>
      <c r="E279" s="300"/>
      <c r="F279" s="300"/>
      <c r="G279" s="1"/>
      <c r="H279" s="242"/>
      <c r="I279" s="242"/>
      <c r="J279" s="242"/>
      <c r="K279" s="9"/>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row>
    <row r="280" spans="1:76">
      <c r="A280" s="1"/>
      <c r="C280" s="241"/>
      <c r="D280" s="1"/>
      <c r="E280" s="300"/>
      <c r="F280" s="300"/>
      <c r="G280" s="1"/>
      <c r="H280" s="242"/>
      <c r="I280" s="242"/>
      <c r="J280" s="242"/>
      <c r="K280" s="9"/>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row>
    <row r="281" spans="1:76">
      <c r="A281" s="1"/>
      <c r="C281" s="241"/>
      <c r="D281" s="1"/>
      <c r="E281" s="300"/>
      <c r="F281" s="300"/>
      <c r="G281" s="1"/>
      <c r="H281" s="242"/>
      <c r="I281" s="242"/>
      <c r="J281" s="242"/>
      <c r="K281" s="9"/>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row>
    <row r="282" spans="1:76">
      <c r="A282" s="1"/>
      <c r="C282" s="241"/>
      <c r="D282" s="1"/>
      <c r="E282" s="300"/>
      <c r="F282" s="300"/>
      <c r="G282" s="1"/>
      <c r="H282" s="242"/>
      <c r="I282" s="242"/>
      <c r="J282" s="242"/>
      <c r="K282" s="9"/>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row>
    <row r="283" spans="1:76">
      <c r="A283" s="1"/>
      <c r="C283" s="241"/>
      <c r="D283" s="1"/>
      <c r="E283" s="300"/>
      <c r="F283" s="300"/>
      <c r="G283" s="1"/>
      <c r="H283" s="242"/>
      <c r="I283" s="242"/>
      <c r="J283" s="242"/>
      <c r="K283" s="9"/>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row>
    <row r="284" spans="1:76">
      <c r="A284" s="1"/>
      <c r="C284" s="241"/>
      <c r="D284" s="1"/>
      <c r="E284" s="300"/>
      <c r="F284" s="300"/>
      <c r="G284" s="1"/>
      <c r="H284" s="242"/>
      <c r="I284" s="242"/>
      <c r="J284" s="242"/>
      <c r="K284" s="9"/>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row>
    <row r="285" spans="1:76">
      <c r="A285" s="1"/>
      <c r="C285" s="241"/>
      <c r="D285" s="1"/>
      <c r="E285" s="300"/>
      <c r="F285" s="300"/>
      <c r="G285" s="1"/>
      <c r="H285" s="242"/>
      <c r="I285" s="242"/>
      <c r="J285" s="242"/>
      <c r="K285" s="9"/>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row>
    <row r="286" spans="1:76">
      <c r="A286" s="1"/>
      <c r="C286" s="241"/>
      <c r="D286" s="1"/>
      <c r="E286" s="300"/>
      <c r="F286" s="300"/>
      <c r="G286" s="1"/>
      <c r="H286" s="242"/>
      <c r="I286" s="242"/>
      <c r="J286" s="242"/>
      <c r="K286" s="9"/>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row>
    <row r="287" spans="1:76">
      <c r="A287" s="1"/>
      <c r="C287" s="241"/>
      <c r="D287" s="1"/>
      <c r="E287" s="300"/>
      <c r="F287" s="300"/>
      <c r="G287" s="1"/>
      <c r="H287" s="242"/>
      <c r="I287" s="242"/>
      <c r="J287" s="242"/>
      <c r="K287" s="9"/>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row>
    <row r="288" spans="1:76">
      <c r="A288" s="1"/>
      <c r="C288" s="241"/>
      <c r="D288" s="1"/>
      <c r="E288" s="300"/>
      <c r="F288" s="300"/>
      <c r="G288" s="1"/>
      <c r="H288" s="242"/>
      <c r="I288" s="242"/>
      <c r="J288" s="242"/>
      <c r="K288" s="9"/>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row>
    <row r="289" spans="1:76">
      <c r="A289" s="1"/>
      <c r="C289" s="241"/>
      <c r="D289" s="1"/>
      <c r="E289" s="300"/>
      <c r="F289" s="300"/>
      <c r="G289" s="1"/>
      <c r="H289" s="242"/>
      <c r="I289" s="242"/>
      <c r="J289" s="242"/>
      <c r="K289" s="9"/>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row>
    <row r="290" spans="1:76">
      <c r="A290" s="1"/>
      <c r="C290" s="241"/>
      <c r="D290" s="1"/>
      <c r="E290" s="300"/>
      <c r="F290" s="300"/>
      <c r="G290" s="1"/>
      <c r="H290" s="242"/>
      <c r="I290" s="242"/>
      <c r="J290" s="242"/>
      <c r="K290" s="9"/>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row>
    <row r="291" spans="1:76">
      <c r="A291" s="1"/>
      <c r="C291" s="241"/>
      <c r="D291" s="1"/>
      <c r="E291" s="300"/>
      <c r="F291" s="300"/>
      <c r="G291" s="1"/>
      <c r="H291" s="242"/>
      <c r="I291" s="242"/>
      <c r="J291" s="242"/>
      <c r="K291" s="9"/>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row>
    <row r="292" spans="1:76">
      <c r="A292" s="1"/>
      <c r="C292" s="241"/>
      <c r="D292" s="1"/>
      <c r="E292" s="300"/>
      <c r="F292" s="300"/>
      <c r="G292" s="1"/>
      <c r="H292" s="242"/>
      <c r="I292" s="242"/>
      <c r="J292" s="242"/>
      <c r="K292" s="9"/>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row>
    <row r="293" spans="1:76">
      <c r="A293" s="1"/>
      <c r="C293" s="241"/>
      <c r="D293" s="1"/>
      <c r="E293" s="300"/>
      <c r="F293" s="300"/>
      <c r="G293" s="1"/>
      <c r="H293" s="242"/>
      <c r="I293" s="242"/>
      <c r="J293" s="242"/>
      <c r="K293" s="9"/>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row>
    <row r="294" spans="1:76">
      <c r="A294" s="1"/>
      <c r="C294" s="241"/>
      <c r="D294" s="1"/>
      <c r="E294" s="300"/>
      <c r="F294" s="300"/>
      <c r="G294" s="1"/>
      <c r="H294" s="242"/>
      <c r="I294" s="242"/>
      <c r="J294" s="242"/>
      <c r="K294" s="9"/>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row>
    <row r="295" spans="1:76">
      <c r="A295" s="1"/>
      <c r="C295" s="241"/>
      <c r="D295" s="1"/>
      <c r="E295" s="300"/>
      <c r="F295" s="300"/>
      <c r="G295" s="1"/>
      <c r="H295" s="242"/>
      <c r="I295" s="242"/>
      <c r="J295" s="242"/>
      <c r="K295" s="9"/>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row>
    <row r="296" spans="1:76">
      <c r="A296" s="1"/>
      <c r="C296" s="241"/>
      <c r="D296" s="1"/>
      <c r="E296" s="300"/>
      <c r="F296" s="300"/>
      <c r="G296" s="1"/>
      <c r="H296" s="242"/>
      <c r="I296" s="242"/>
      <c r="J296" s="242"/>
      <c r="K296" s="9"/>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row>
    <row r="297" spans="1:76">
      <c r="A297" s="1"/>
      <c r="C297" s="241"/>
      <c r="D297" s="1"/>
      <c r="E297" s="300"/>
      <c r="F297" s="300"/>
      <c r="G297" s="1"/>
      <c r="H297" s="242"/>
      <c r="I297" s="242"/>
      <c r="J297" s="242"/>
      <c r="K297" s="9"/>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row>
    <row r="298" spans="1:76">
      <c r="A298" s="1"/>
      <c r="C298" s="241"/>
      <c r="D298" s="1"/>
      <c r="E298" s="300"/>
      <c r="F298" s="300"/>
      <c r="G298" s="1"/>
      <c r="H298" s="242"/>
      <c r="I298" s="242"/>
      <c r="J298" s="242"/>
      <c r="K298" s="9"/>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row>
    <row r="299" spans="1:76">
      <c r="A299" s="1"/>
      <c r="C299" s="241"/>
      <c r="D299" s="1"/>
      <c r="E299" s="300"/>
      <c r="F299" s="300"/>
      <c r="G299" s="1"/>
      <c r="H299" s="242"/>
      <c r="I299" s="242"/>
      <c r="J299" s="242"/>
      <c r="K299" s="9"/>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row>
    <row r="300" spans="1:76">
      <c r="A300" s="1"/>
      <c r="C300" s="241"/>
      <c r="D300" s="1"/>
      <c r="E300" s="300"/>
      <c r="F300" s="300"/>
      <c r="G300" s="1"/>
      <c r="H300" s="242"/>
      <c r="I300" s="242"/>
      <c r="J300" s="242"/>
      <c r="K300" s="9"/>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row>
    <row r="301" spans="1:76">
      <c r="A301" s="1"/>
      <c r="C301" s="241"/>
      <c r="D301" s="1"/>
      <c r="E301" s="300"/>
      <c r="F301" s="300"/>
      <c r="G301" s="1"/>
      <c r="H301" s="242"/>
      <c r="I301" s="242"/>
      <c r="J301" s="242"/>
      <c r="K301" s="9"/>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row>
    <row r="302" spans="1:76">
      <c r="A302" s="1"/>
      <c r="C302" s="241"/>
      <c r="D302" s="1"/>
      <c r="E302" s="300"/>
      <c r="F302" s="300"/>
      <c r="G302" s="1"/>
      <c r="H302" s="242"/>
      <c r="I302" s="242"/>
      <c r="J302" s="242"/>
      <c r="K302" s="9"/>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row>
    <row r="303" spans="1:76">
      <c r="A303" s="1"/>
      <c r="C303" s="241"/>
      <c r="D303" s="1"/>
      <c r="E303" s="300"/>
      <c r="F303" s="300"/>
      <c r="G303" s="1"/>
      <c r="H303" s="242"/>
      <c r="I303" s="242"/>
      <c r="J303" s="242"/>
      <c r="K303" s="9"/>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row>
    <row r="304" spans="1:76">
      <c r="A304" s="1"/>
      <c r="C304" s="241"/>
      <c r="D304" s="1"/>
      <c r="E304" s="300"/>
      <c r="F304" s="300"/>
      <c r="G304" s="1"/>
      <c r="H304" s="242"/>
      <c r="I304" s="242"/>
      <c r="J304" s="242"/>
      <c r="K304" s="9"/>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row>
    <row r="305" spans="1:76">
      <c r="A305" s="1"/>
      <c r="C305" s="241"/>
      <c r="D305" s="1"/>
      <c r="E305" s="300"/>
      <c r="F305" s="300"/>
      <c r="G305" s="1"/>
      <c r="H305" s="242"/>
      <c r="I305" s="242"/>
      <c r="J305" s="242"/>
      <c r="K305" s="9"/>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row>
    <row r="306" spans="1:76">
      <c r="A306" s="1"/>
      <c r="C306" s="241"/>
      <c r="D306" s="1"/>
      <c r="E306" s="300"/>
      <c r="F306" s="300"/>
      <c r="G306" s="1"/>
      <c r="H306" s="242"/>
      <c r="I306" s="242"/>
      <c r="J306" s="242"/>
      <c r="K306" s="9"/>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row>
    <row r="307" spans="1:76">
      <c r="A307" s="1"/>
      <c r="C307" s="241"/>
      <c r="D307" s="1"/>
      <c r="E307" s="300"/>
      <c r="F307" s="300"/>
      <c r="G307" s="1"/>
      <c r="H307" s="242"/>
      <c r="I307" s="242"/>
      <c r="J307" s="242"/>
      <c r="K307" s="9"/>
      <c r="L307" s="1"/>
      <c r="M307" s="1"/>
      <c r="N307" s="1"/>
      <c r="O307" s="1"/>
      <c r="P307" s="1"/>
      <c r="Q307" s="1"/>
      <c r="R307" s="1"/>
    </row>
    <row r="308" spans="1:76">
      <c r="A308" s="1"/>
      <c r="C308" s="241"/>
      <c r="D308" s="1"/>
      <c r="E308" s="300"/>
      <c r="F308" s="300"/>
      <c r="G308" s="1"/>
      <c r="H308" s="242"/>
      <c r="I308" s="242"/>
      <c r="J308" s="242"/>
      <c r="K308" s="9"/>
      <c r="L308" s="1"/>
      <c r="M308" s="1"/>
      <c r="N308" s="1"/>
      <c r="O308" s="1"/>
      <c r="P308" s="1"/>
      <c r="Q308" s="1"/>
      <c r="R308" s="1"/>
    </row>
    <row r="309" spans="1:76">
      <c r="A309" s="1"/>
      <c r="C309" s="241"/>
      <c r="D309" s="1"/>
      <c r="E309" s="300"/>
      <c r="F309" s="300"/>
      <c r="G309" s="1"/>
      <c r="H309" s="242"/>
      <c r="I309" s="242"/>
      <c r="J309" s="242"/>
      <c r="K309" s="9"/>
      <c r="L309" s="1"/>
      <c r="M309" s="1"/>
      <c r="N309" s="1"/>
      <c r="O309" s="1"/>
      <c r="P309" s="1"/>
      <c r="Q309" s="1"/>
      <c r="R309" s="1"/>
    </row>
    <row r="310" spans="1:76">
      <c r="A310" s="1"/>
      <c r="C310" s="241"/>
      <c r="D310" s="1"/>
      <c r="E310" s="300"/>
      <c r="F310" s="300"/>
      <c r="G310" s="1"/>
      <c r="H310" s="242"/>
      <c r="I310" s="242"/>
      <c r="J310" s="242"/>
      <c r="K310" s="9"/>
      <c r="L310" s="1"/>
      <c r="M310" s="1"/>
      <c r="N310" s="1"/>
      <c r="O310" s="1"/>
      <c r="P310" s="1"/>
      <c r="Q310" s="1"/>
      <c r="R310" s="1"/>
    </row>
    <row r="311" spans="1:76">
      <c r="A311" s="1"/>
      <c r="C311" s="241"/>
      <c r="D311" s="1"/>
      <c r="E311" s="300"/>
      <c r="F311" s="300"/>
      <c r="G311" s="1"/>
      <c r="H311" s="242"/>
      <c r="I311" s="242"/>
      <c r="J311" s="242"/>
      <c r="K311" s="9"/>
      <c r="L311" s="1"/>
      <c r="M311" s="1"/>
      <c r="N311" s="1"/>
      <c r="O311" s="1"/>
      <c r="P311" s="1"/>
      <c r="Q311" s="1"/>
      <c r="R311" s="1"/>
    </row>
    <row r="312" spans="1:76">
      <c r="A312" s="1"/>
      <c r="C312" s="241"/>
      <c r="D312" s="1"/>
      <c r="E312" s="300"/>
      <c r="F312" s="300"/>
      <c r="G312" s="1"/>
      <c r="H312" s="242"/>
      <c r="I312" s="242"/>
      <c r="J312" s="242"/>
      <c r="K312" s="9"/>
      <c r="L312" s="1"/>
      <c r="M312" s="1"/>
      <c r="N312" s="1"/>
      <c r="O312" s="1"/>
      <c r="P312" s="1"/>
      <c r="Q312" s="1"/>
      <c r="R312" s="1"/>
    </row>
    <row r="313" spans="1:76">
      <c r="A313" s="1"/>
      <c r="C313" s="241"/>
      <c r="D313" s="1"/>
      <c r="E313" s="300"/>
      <c r="F313" s="300"/>
      <c r="G313" s="1"/>
      <c r="H313" s="242"/>
      <c r="I313" s="242"/>
      <c r="J313" s="242"/>
      <c r="K313" s="9"/>
      <c r="L313" s="1"/>
      <c r="M313" s="1"/>
      <c r="N313" s="1"/>
      <c r="O313" s="1"/>
      <c r="P313" s="1"/>
      <c r="Q313" s="1"/>
      <c r="R313" s="1"/>
    </row>
    <row r="314" spans="1:76">
      <c r="A314" s="1"/>
      <c r="C314" s="241"/>
      <c r="D314" s="1"/>
      <c r="E314" s="300"/>
      <c r="F314" s="300"/>
      <c r="G314" s="1"/>
      <c r="H314" s="242"/>
      <c r="I314" s="242"/>
      <c r="J314" s="242"/>
      <c r="K314" s="9"/>
      <c r="L314" s="1"/>
      <c r="M314" s="1"/>
      <c r="N314" s="1"/>
      <c r="O314" s="1"/>
      <c r="P314" s="1"/>
      <c r="Q314" s="1"/>
      <c r="R314" s="1"/>
    </row>
    <row r="315" spans="1:76">
      <c r="A315" s="1"/>
      <c r="C315" s="241"/>
      <c r="D315" s="1"/>
      <c r="E315" s="300"/>
      <c r="F315" s="300"/>
      <c r="G315" s="1"/>
      <c r="H315" s="242"/>
      <c r="I315" s="242"/>
      <c r="J315" s="242"/>
      <c r="K315" s="9"/>
      <c r="L315" s="1"/>
      <c r="M315" s="1"/>
      <c r="N315" s="1"/>
      <c r="O315" s="1"/>
      <c r="P315" s="1"/>
      <c r="Q315" s="1"/>
      <c r="R315" s="1"/>
    </row>
    <row r="316" spans="1:76">
      <c r="A316" s="1"/>
      <c r="C316" s="241"/>
      <c r="D316" s="1"/>
      <c r="E316" s="300"/>
      <c r="F316" s="300"/>
      <c r="G316" s="1"/>
      <c r="H316" s="242"/>
      <c r="I316" s="242"/>
      <c r="J316" s="242"/>
      <c r="K316" s="9"/>
      <c r="L316" s="1"/>
      <c r="M316" s="1"/>
      <c r="N316" s="1"/>
      <c r="O316" s="1"/>
      <c r="P316" s="1"/>
      <c r="Q316" s="1"/>
      <c r="R316" s="1"/>
    </row>
    <row r="317" spans="1:76">
      <c r="A317" s="1"/>
      <c r="C317" s="241"/>
      <c r="D317" s="1"/>
      <c r="E317" s="300"/>
      <c r="F317" s="300"/>
      <c r="G317" s="1"/>
      <c r="H317" s="242"/>
      <c r="I317" s="242"/>
      <c r="J317" s="242"/>
      <c r="K317" s="9"/>
      <c r="L317" s="1"/>
      <c r="M317" s="1"/>
      <c r="N317" s="1"/>
      <c r="O317" s="1"/>
      <c r="P317" s="1"/>
      <c r="Q317" s="1"/>
      <c r="R317" s="1"/>
    </row>
    <row r="318" spans="1:76">
      <c r="A318" s="1"/>
      <c r="C318" s="241"/>
      <c r="D318" s="1"/>
      <c r="E318" s="300"/>
      <c r="F318" s="300"/>
      <c r="G318" s="1"/>
      <c r="H318" s="242"/>
      <c r="I318" s="242"/>
      <c r="J318" s="242"/>
      <c r="K318" s="9"/>
      <c r="L318" s="1"/>
      <c r="M318" s="1"/>
      <c r="N318" s="1"/>
      <c r="O318" s="1"/>
      <c r="P318" s="1"/>
      <c r="Q318" s="1"/>
      <c r="R318" s="1"/>
    </row>
    <row r="319" spans="1:76">
      <c r="A319" s="1"/>
      <c r="C319" s="241"/>
      <c r="D319" s="1"/>
      <c r="E319" s="300"/>
      <c r="F319" s="300"/>
      <c r="G319" s="1"/>
      <c r="H319" s="242"/>
      <c r="I319" s="242"/>
      <c r="J319" s="242"/>
      <c r="K319" s="9"/>
      <c r="L319" s="1"/>
      <c r="M319" s="1"/>
      <c r="N319" s="1"/>
      <c r="O319" s="1"/>
      <c r="P319" s="1"/>
      <c r="Q319" s="1"/>
      <c r="R319" s="1"/>
    </row>
    <row r="320" spans="1:76">
      <c r="A320" s="1"/>
      <c r="C320" s="241"/>
      <c r="D320" s="1"/>
      <c r="E320" s="300"/>
      <c r="F320" s="300"/>
      <c r="G320" s="1"/>
      <c r="H320" s="242"/>
      <c r="I320" s="242"/>
      <c r="J320" s="242"/>
      <c r="K320" s="9"/>
      <c r="L320" s="1"/>
      <c r="M320" s="1"/>
      <c r="N320" s="1"/>
      <c r="O320" s="1"/>
      <c r="P320" s="1"/>
      <c r="Q320" s="1"/>
      <c r="R320" s="1"/>
    </row>
    <row r="321" spans="1:18">
      <c r="A321" s="1"/>
      <c r="C321" s="241"/>
      <c r="D321" s="1"/>
      <c r="E321" s="300"/>
      <c r="F321" s="300"/>
      <c r="G321" s="1"/>
      <c r="H321" s="242"/>
      <c r="I321" s="242"/>
      <c r="J321" s="242"/>
      <c r="K321" s="9"/>
      <c r="L321" s="1"/>
      <c r="M321" s="1"/>
      <c r="N321" s="1"/>
      <c r="O321" s="1"/>
      <c r="P321" s="1"/>
      <c r="Q321" s="1"/>
      <c r="R321" s="1"/>
    </row>
    <row r="322" spans="1:18">
      <c r="A322" s="1"/>
      <c r="C322" s="241"/>
      <c r="D322" s="1"/>
      <c r="E322" s="300"/>
      <c r="F322" s="300"/>
      <c r="G322" s="1"/>
      <c r="H322" s="242"/>
      <c r="I322" s="242"/>
      <c r="J322" s="242"/>
      <c r="K322" s="9"/>
      <c r="L322" s="1"/>
      <c r="M322" s="1"/>
      <c r="N322" s="1"/>
      <c r="O322" s="1"/>
      <c r="P322" s="1"/>
      <c r="Q322" s="1"/>
      <c r="R322" s="1"/>
    </row>
    <row r="323" spans="1:18">
      <c r="A323" s="1"/>
      <c r="C323" s="241"/>
      <c r="D323" s="1"/>
      <c r="E323" s="300"/>
      <c r="F323" s="300"/>
      <c r="G323" s="1"/>
      <c r="H323" s="242"/>
      <c r="I323" s="242"/>
      <c r="J323" s="242"/>
      <c r="K323" s="9"/>
      <c r="L323" s="1"/>
      <c r="M323" s="1"/>
      <c r="N323" s="1"/>
      <c r="O323" s="1"/>
      <c r="P323" s="1"/>
      <c r="Q323" s="1"/>
      <c r="R323" s="1"/>
    </row>
    <row r="324" spans="1:18">
      <c r="A324" s="1"/>
      <c r="C324" s="241"/>
      <c r="D324" s="1"/>
      <c r="E324" s="300"/>
      <c r="F324" s="300"/>
      <c r="G324" s="1"/>
      <c r="H324" s="242"/>
      <c r="I324" s="242"/>
      <c r="J324" s="242"/>
      <c r="K324" s="9"/>
      <c r="L324" s="1"/>
      <c r="M324" s="1"/>
      <c r="N324" s="1"/>
      <c r="O324" s="1"/>
      <c r="P324" s="1"/>
      <c r="Q324" s="1"/>
      <c r="R324" s="1"/>
    </row>
    <row r="325" spans="1:18">
      <c r="A325" s="1"/>
      <c r="C325" s="241"/>
      <c r="D325" s="1"/>
      <c r="E325" s="300"/>
      <c r="F325" s="300"/>
      <c r="G325" s="1"/>
      <c r="H325" s="242"/>
      <c r="I325" s="242"/>
      <c r="J325" s="242"/>
      <c r="K325" s="9"/>
      <c r="L325" s="1"/>
      <c r="M325" s="1"/>
      <c r="N325" s="1"/>
      <c r="O325" s="1"/>
      <c r="P325" s="1"/>
      <c r="Q325" s="1"/>
      <c r="R325" s="1"/>
    </row>
    <row r="326" spans="1:18">
      <c r="A326" s="1"/>
      <c r="C326" s="241"/>
      <c r="D326" s="1"/>
      <c r="E326" s="300"/>
      <c r="F326" s="300"/>
      <c r="G326" s="1"/>
      <c r="H326" s="242"/>
      <c r="I326" s="242"/>
      <c r="J326" s="242"/>
      <c r="K326" s="9"/>
      <c r="L326" s="1"/>
      <c r="M326" s="1"/>
      <c r="N326" s="1"/>
      <c r="O326" s="1"/>
      <c r="P326" s="1"/>
      <c r="Q326" s="1"/>
      <c r="R326" s="1"/>
    </row>
    <row r="327" spans="1:18">
      <c r="A327" s="1"/>
      <c r="C327" s="241"/>
      <c r="D327" s="1"/>
      <c r="E327" s="300"/>
      <c r="F327" s="300"/>
      <c r="G327" s="1"/>
      <c r="H327" s="242"/>
      <c r="I327" s="242"/>
      <c r="J327" s="242"/>
      <c r="K327" s="9"/>
      <c r="L327" s="1"/>
      <c r="M327" s="1"/>
      <c r="N327" s="1"/>
      <c r="O327" s="1"/>
      <c r="P327" s="1"/>
      <c r="Q327" s="1"/>
      <c r="R327" s="1"/>
    </row>
    <row r="328" spans="1:18">
      <c r="A328" s="1"/>
      <c r="C328" s="241"/>
      <c r="D328" s="1"/>
      <c r="E328" s="300"/>
      <c r="F328" s="300"/>
      <c r="G328" s="1"/>
      <c r="H328" s="242"/>
      <c r="I328" s="242"/>
      <c r="J328" s="242"/>
      <c r="K328" s="9"/>
      <c r="L328" s="1"/>
      <c r="M328" s="1"/>
      <c r="N328" s="1"/>
      <c r="O328" s="1"/>
      <c r="P328" s="1"/>
      <c r="Q328" s="1"/>
      <c r="R328" s="1"/>
    </row>
    <row r="329" spans="1:18">
      <c r="A329" s="1"/>
      <c r="C329" s="241"/>
      <c r="D329" s="1"/>
      <c r="E329" s="300"/>
      <c r="F329" s="300"/>
      <c r="G329" s="1"/>
      <c r="H329" s="242"/>
      <c r="I329" s="242"/>
      <c r="J329" s="242"/>
      <c r="K329" s="9"/>
      <c r="L329" s="1"/>
      <c r="M329" s="1"/>
      <c r="N329" s="1"/>
      <c r="O329" s="1"/>
      <c r="P329" s="1"/>
      <c r="Q329" s="1"/>
      <c r="R329" s="1"/>
    </row>
    <row r="330" spans="1:18">
      <c r="A330" s="1"/>
      <c r="C330" s="241"/>
      <c r="D330" s="1"/>
      <c r="E330" s="300"/>
      <c r="F330" s="300"/>
      <c r="G330" s="1"/>
      <c r="H330" s="242"/>
      <c r="I330" s="242"/>
      <c r="J330" s="242"/>
      <c r="K330" s="9"/>
      <c r="L330" s="1"/>
      <c r="M330" s="1"/>
      <c r="N330" s="1"/>
      <c r="O330" s="1"/>
      <c r="P330" s="1"/>
      <c r="Q330" s="1"/>
      <c r="R330" s="1"/>
    </row>
    <row r="331" spans="1:18">
      <c r="A331" s="1"/>
      <c r="C331" s="241"/>
      <c r="D331" s="1"/>
      <c r="E331" s="300"/>
      <c r="F331" s="300"/>
      <c r="G331" s="1"/>
      <c r="H331" s="242"/>
      <c r="I331" s="242"/>
      <c r="J331" s="242"/>
      <c r="K331" s="9"/>
      <c r="L331" s="1"/>
      <c r="M331" s="1"/>
      <c r="N331" s="1"/>
      <c r="O331" s="1"/>
      <c r="P331" s="1"/>
      <c r="Q331" s="1"/>
      <c r="R331" s="1"/>
    </row>
    <row r="332" spans="1:18">
      <c r="A332" s="1"/>
      <c r="C332" s="241"/>
      <c r="D332" s="1"/>
      <c r="E332" s="300"/>
      <c r="F332" s="300"/>
      <c r="G332" s="1"/>
      <c r="H332" s="242"/>
      <c r="I332" s="242"/>
      <c r="J332" s="242"/>
      <c r="K332" s="9"/>
      <c r="L332" s="1"/>
      <c r="M332" s="1"/>
      <c r="N332" s="1"/>
      <c r="O332" s="1"/>
      <c r="P332" s="1"/>
      <c r="Q332" s="1"/>
      <c r="R332" s="1"/>
    </row>
    <row r="333" spans="1:18">
      <c r="A333" s="1"/>
      <c r="C333" s="241"/>
      <c r="D333" s="1"/>
      <c r="E333" s="300"/>
      <c r="F333" s="300"/>
      <c r="G333" s="1"/>
      <c r="H333" s="242"/>
      <c r="I333" s="242"/>
      <c r="J333" s="242"/>
      <c r="K333" s="9"/>
      <c r="L333" s="1"/>
      <c r="M333" s="1"/>
      <c r="N333" s="1"/>
      <c r="O333" s="1"/>
      <c r="P333" s="1"/>
      <c r="Q333" s="1"/>
      <c r="R333" s="1"/>
    </row>
    <row r="334" spans="1:18">
      <c r="A334" s="1"/>
      <c r="C334" s="241"/>
      <c r="D334" s="1"/>
      <c r="E334" s="300"/>
      <c r="F334" s="300"/>
      <c r="G334" s="1"/>
      <c r="H334" s="242"/>
      <c r="I334" s="242"/>
      <c r="J334" s="242"/>
      <c r="K334" s="9"/>
      <c r="L334" s="1"/>
      <c r="M334" s="1"/>
      <c r="N334" s="1"/>
      <c r="O334" s="1"/>
      <c r="P334" s="1"/>
      <c r="Q334" s="1"/>
      <c r="R334" s="1"/>
    </row>
    <row r="335" spans="1:18">
      <c r="A335" s="1"/>
      <c r="C335" s="241"/>
      <c r="D335" s="1"/>
      <c r="E335" s="300"/>
      <c r="F335" s="300"/>
      <c r="G335" s="1"/>
      <c r="H335" s="242"/>
      <c r="I335" s="242"/>
      <c r="J335" s="242"/>
      <c r="K335" s="9"/>
      <c r="L335" s="1"/>
      <c r="M335" s="1"/>
      <c r="N335" s="1"/>
      <c r="O335" s="1"/>
      <c r="P335" s="1"/>
      <c r="Q335" s="1"/>
      <c r="R335" s="1"/>
    </row>
    <row r="336" spans="1:18">
      <c r="A336" s="1"/>
      <c r="C336" s="241"/>
      <c r="D336" s="1"/>
      <c r="E336" s="300"/>
      <c r="F336" s="300"/>
      <c r="G336" s="1"/>
      <c r="H336" s="242"/>
      <c r="I336" s="242"/>
      <c r="J336" s="242"/>
      <c r="K336" s="9"/>
      <c r="L336" s="1"/>
      <c r="M336" s="1"/>
      <c r="N336" s="1"/>
      <c r="O336" s="1"/>
      <c r="P336" s="1"/>
      <c r="Q336" s="1"/>
      <c r="R336" s="1"/>
    </row>
    <row r="337" spans="1:18">
      <c r="A337" s="1"/>
      <c r="C337" s="241"/>
      <c r="D337" s="1"/>
      <c r="E337" s="300"/>
      <c r="F337" s="300"/>
      <c r="G337" s="1"/>
      <c r="H337" s="242"/>
      <c r="I337" s="242"/>
      <c r="J337" s="242"/>
      <c r="K337" s="9"/>
      <c r="L337" s="1"/>
      <c r="M337" s="1"/>
      <c r="N337" s="1"/>
      <c r="O337" s="1"/>
      <c r="P337" s="1"/>
      <c r="Q337" s="1"/>
      <c r="R337" s="1"/>
    </row>
    <row r="338" spans="1:18">
      <c r="A338" s="1"/>
      <c r="C338" s="241"/>
      <c r="D338" s="1"/>
      <c r="E338" s="300"/>
      <c r="F338" s="300"/>
      <c r="G338" s="1"/>
      <c r="H338" s="242"/>
      <c r="I338" s="242"/>
      <c r="J338" s="242"/>
      <c r="K338" s="9"/>
      <c r="L338" s="1"/>
      <c r="M338" s="1"/>
      <c r="N338" s="1"/>
      <c r="O338" s="1"/>
      <c r="P338" s="1"/>
      <c r="Q338" s="1"/>
      <c r="R338" s="1"/>
    </row>
    <row r="339" spans="1:18">
      <c r="A339" s="1"/>
      <c r="C339" s="241"/>
      <c r="D339" s="1"/>
      <c r="E339" s="300"/>
      <c r="F339" s="300"/>
      <c r="G339" s="1"/>
      <c r="H339" s="242"/>
      <c r="I339" s="242"/>
      <c r="J339" s="242"/>
      <c r="K339" s="9"/>
      <c r="L339" s="1"/>
      <c r="M339" s="1"/>
      <c r="N339" s="1"/>
      <c r="O339" s="1"/>
      <c r="P339" s="1"/>
      <c r="Q339" s="1"/>
      <c r="R339" s="1"/>
    </row>
    <row r="340" spans="1:18">
      <c r="A340" s="1"/>
      <c r="C340" s="241"/>
      <c r="D340" s="1"/>
      <c r="E340" s="300"/>
      <c r="F340" s="300"/>
      <c r="G340" s="1"/>
      <c r="H340" s="242"/>
      <c r="I340" s="242"/>
      <c r="J340" s="242"/>
      <c r="K340" s="9"/>
      <c r="L340" s="1"/>
      <c r="M340" s="1"/>
      <c r="N340" s="1"/>
      <c r="O340" s="1"/>
      <c r="P340" s="1"/>
      <c r="Q340" s="1"/>
      <c r="R340" s="1"/>
    </row>
    <row r="341" spans="1:18">
      <c r="A341" s="1"/>
      <c r="C341" s="241"/>
      <c r="D341" s="1"/>
      <c r="E341" s="300"/>
      <c r="F341" s="300"/>
      <c r="G341" s="1"/>
      <c r="H341" s="242"/>
      <c r="I341" s="242"/>
      <c r="J341" s="242"/>
      <c r="K341" s="9"/>
      <c r="L341" s="1"/>
      <c r="M341" s="1"/>
      <c r="N341" s="1"/>
      <c r="O341" s="1"/>
      <c r="P341" s="1"/>
      <c r="Q341" s="1"/>
      <c r="R341" s="1"/>
    </row>
    <row r="342" spans="1:18">
      <c r="A342" s="1"/>
      <c r="C342" s="241"/>
      <c r="D342" s="1"/>
      <c r="E342" s="300"/>
      <c r="F342" s="300"/>
      <c r="G342" s="1"/>
      <c r="H342" s="242"/>
      <c r="I342" s="242"/>
      <c r="J342" s="242"/>
      <c r="K342" s="9"/>
      <c r="L342" s="1"/>
      <c r="M342" s="1"/>
      <c r="N342" s="1"/>
      <c r="O342" s="1"/>
      <c r="P342" s="1"/>
      <c r="Q342" s="1"/>
      <c r="R342" s="1"/>
    </row>
    <row r="343" spans="1:18">
      <c r="A343" s="1"/>
      <c r="C343" s="241"/>
      <c r="D343" s="1"/>
      <c r="E343" s="300"/>
      <c r="F343" s="300"/>
      <c r="G343" s="1"/>
      <c r="H343" s="242"/>
      <c r="I343" s="242"/>
      <c r="J343" s="242"/>
      <c r="K343" s="9"/>
      <c r="L343" s="1"/>
      <c r="M343" s="1"/>
      <c r="N343" s="1"/>
      <c r="O343" s="1"/>
      <c r="P343" s="1"/>
      <c r="Q343" s="1"/>
      <c r="R343" s="1"/>
    </row>
    <row r="344" spans="1:18">
      <c r="A344" s="1"/>
      <c r="C344" s="241"/>
      <c r="D344" s="1"/>
      <c r="E344" s="300"/>
      <c r="F344" s="300"/>
      <c r="G344" s="1"/>
      <c r="H344" s="242"/>
      <c r="I344" s="242"/>
      <c r="J344" s="242"/>
      <c r="K344" s="9"/>
      <c r="L344" s="1"/>
      <c r="M344" s="1"/>
      <c r="N344" s="1"/>
      <c r="O344" s="1"/>
      <c r="P344" s="1"/>
      <c r="Q344" s="1"/>
      <c r="R344" s="1"/>
    </row>
    <row r="345" spans="1:18">
      <c r="A345" s="1"/>
      <c r="C345" s="241"/>
      <c r="D345" s="1"/>
      <c r="E345" s="300"/>
      <c r="F345" s="300"/>
      <c r="G345" s="1"/>
      <c r="H345" s="242"/>
      <c r="I345" s="242"/>
      <c r="J345" s="242"/>
      <c r="K345" s="9"/>
      <c r="L345" s="1"/>
      <c r="M345" s="1"/>
      <c r="N345" s="1"/>
      <c r="O345" s="1"/>
      <c r="P345" s="1"/>
      <c r="Q345" s="1"/>
      <c r="R345" s="1"/>
    </row>
    <row r="346" spans="1:18">
      <c r="A346" s="1"/>
      <c r="C346" s="241"/>
      <c r="D346" s="1"/>
      <c r="E346" s="300"/>
      <c r="F346" s="300"/>
      <c r="G346" s="1"/>
      <c r="H346" s="242"/>
      <c r="I346" s="242"/>
      <c r="J346" s="242"/>
      <c r="K346" s="9"/>
      <c r="L346" s="1"/>
      <c r="M346" s="1"/>
      <c r="N346" s="1"/>
      <c r="O346" s="1"/>
      <c r="P346" s="1"/>
      <c r="Q346" s="1"/>
      <c r="R346" s="1"/>
    </row>
    <row r="347" spans="1:18">
      <c r="A347" s="1"/>
      <c r="C347" s="241"/>
      <c r="D347" s="1"/>
      <c r="E347" s="300"/>
      <c r="F347" s="300"/>
      <c r="G347" s="1"/>
      <c r="H347" s="242"/>
      <c r="I347" s="242"/>
      <c r="J347" s="242"/>
      <c r="K347" s="9"/>
      <c r="L347" s="1"/>
      <c r="M347" s="1"/>
      <c r="N347" s="1"/>
      <c r="O347" s="1"/>
      <c r="P347" s="1"/>
      <c r="Q347" s="1"/>
      <c r="R347" s="1"/>
    </row>
    <row r="348" spans="1:18">
      <c r="A348" s="1"/>
      <c r="C348" s="241"/>
      <c r="D348" s="1"/>
      <c r="E348" s="300"/>
      <c r="F348" s="300"/>
      <c r="G348" s="1"/>
      <c r="H348" s="242"/>
      <c r="I348" s="242"/>
      <c r="J348" s="242"/>
      <c r="K348" s="9"/>
      <c r="L348" s="1"/>
      <c r="M348" s="1"/>
      <c r="N348" s="1"/>
      <c r="O348" s="1"/>
      <c r="P348" s="1"/>
      <c r="Q348" s="1"/>
      <c r="R348" s="1"/>
    </row>
    <row r="349" spans="1:18">
      <c r="A349" s="1"/>
      <c r="C349" s="241"/>
      <c r="D349" s="1"/>
      <c r="E349" s="300"/>
      <c r="F349" s="300"/>
      <c r="G349" s="1"/>
      <c r="H349" s="242"/>
      <c r="I349" s="242"/>
      <c r="J349" s="242"/>
      <c r="K349" s="9"/>
      <c r="L349" s="1"/>
      <c r="M349" s="1"/>
      <c r="N349" s="1"/>
      <c r="O349" s="1"/>
      <c r="P349" s="1"/>
      <c r="Q349" s="1"/>
      <c r="R349" s="1"/>
    </row>
    <row r="350" spans="1:18">
      <c r="A350" s="1"/>
      <c r="C350" s="241"/>
      <c r="D350" s="1"/>
      <c r="E350" s="300"/>
      <c r="F350" s="300"/>
      <c r="G350" s="1"/>
      <c r="H350" s="242"/>
      <c r="I350" s="242"/>
      <c r="J350" s="242"/>
      <c r="K350" s="9"/>
      <c r="L350" s="1"/>
      <c r="M350" s="1"/>
      <c r="N350" s="1"/>
      <c r="O350" s="1"/>
      <c r="P350" s="1"/>
      <c r="Q350" s="1"/>
      <c r="R350" s="1"/>
    </row>
    <row r="351" spans="1:18">
      <c r="A351" s="1"/>
      <c r="C351" s="241"/>
      <c r="D351" s="1"/>
      <c r="E351" s="300"/>
      <c r="F351" s="300"/>
      <c r="G351" s="1"/>
      <c r="H351" s="242"/>
      <c r="I351" s="242"/>
      <c r="J351" s="242"/>
      <c r="K351" s="9"/>
      <c r="L351" s="1"/>
      <c r="M351" s="1"/>
      <c r="N351" s="1"/>
      <c r="O351" s="1"/>
      <c r="P351" s="1"/>
      <c r="Q351" s="1"/>
      <c r="R351" s="1"/>
    </row>
    <row r="352" spans="1:18">
      <c r="A352" s="1"/>
      <c r="C352" s="241"/>
      <c r="D352" s="1"/>
      <c r="E352" s="300"/>
      <c r="F352" s="300"/>
      <c r="G352" s="1"/>
      <c r="H352" s="242"/>
      <c r="I352" s="242"/>
      <c r="J352" s="242"/>
      <c r="K352" s="9"/>
      <c r="L352" s="1"/>
      <c r="M352" s="1"/>
      <c r="N352" s="1"/>
      <c r="O352" s="1"/>
      <c r="P352" s="1"/>
      <c r="Q352" s="1"/>
      <c r="R352" s="1"/>
    </row>
    <row r="353" spans="1:18">
      <c r="A353" s="1"/>
      <c r="C353" s="241"/>
      <c r="D353" s="1"/>
      <c r="E353" s="300"/>
      <c r="F353" s="300"/>
      <c r="G353" s="1"/>
      <c r="H353" s="242"/>
      <c r="I353" s="242"/>
      <c r="J353" s="242"/>
      <c r="K353" s="9"/>
      <c r="L353" s="1"/>
      <c r="M353" s="1"/>
      <c r="N353" s="1"/>
      <c r="O353" s="1"/>
      <c r="P353" s="1"/>
      <c r="Q353" s="1"/>
      <c r="R353" s="1"/>
    </row>
    <row r="354" spans="1:18">
      <c r="A354" s="1"/>
      <c r="C354" s="241"/>
      <c r="D354" s="1"/>
      <c r="E354" s="300"/>
      <c r="F354" s="300"/>
      <c r="G354" s="1"/>
      <c r="H354" s="242"/>
      <c r="I354" s="242"/>
      <c r="J354" s="242"/>
      <c r="K354" s="9"/>
      <c r="L354" s="1"/>
      <c r="M354" s="1"/>
      <c r="N354" s="1"/>
      <c r="O354" s="1"/>
      <c r="P354" s="1"/>
      <c r="Q354" s="1"/>
      <c r="R354" s="1"/>
    </row>
    <row r="355" spans="1:18">
      <c r="A355" s="1"/>
      <c r="C355" s="241"/>
      <c r="D355" s="1"/>
      <c r="E355" s="300"/>
      <c r="F355" s="300"/>
      <c r="G355" s="1"/>
      <c r="H355" s="242"/>
      <c r="I355" s="242"/>
      <c r="J355" s="242"/>
      <c r="K355" s="9"/>
      <c r="L355" s="1"/>
      <c r="M355" s="1"/>
      <c r="N355" s="1"/>
      <c r="O355" s="1"/>
      <c r="P355" s="1"/>
      <c r="Q355" s="1"/>
      <c r="R355" s="1"/>
    </row>
    <row r="356" spans="1:18">
      <c r="A356" s="1"/>
      <c r="C356" s="241"/>
      <c r="D356" s="1"/>
      <c r="E356" s="300"/>
      <c r="F356" s="300"/>
      <c r="G356" s="1"/>
      <c r="H356" s="242"/>
      <c r="I356" s="242"/>
      <c r="J356" s="242"/>
      <c r="K356" s="9"/>
      <c r="L356" s="1"/>
      <c r="M356" s="1"/>
      <c r="N356" s="1"/>
      <c r="O356" s="1"/>
      <c r="P356" s="1"/>
      <c r="Q356" s="1"/>
      <c r="R356" s="1"/>
    </row>
    <row r="357" spans="1:18">
      <c r="A357" s="1"/>
      <c r="C357" s="241"/>
      <c r="D357" s="1"/>
      <c r="E357" s="300"/>
      <c r="F357" s="300"/>
      <c r="G357" s="1"/>
      <c r="H357" s="242"/>
      <c r="I357" s="242"/>
      <c r="J357" s="242"/>
      <c r="K357" s="9"/>
      <c r="L357" s="1"/>
      <c r="M357" s="1"/>
      <c r="N357" s="1"/>
      <c r="O357" s="1"/>
      <c r="P357" s="1"/>
      <c r="Q357" s="1"/>
      <c r="R357" s="1"/>
    </row>
    <row r="358" spans="1:18">
      <c r="A358" s="1"/>
      <c r="C358" s="241"/>
      <c r="D358" s="1"/>
      <c r="E358" s="300"/>
      <c r="F358" s="300"/>
      <c r="G358" s="1"/>
      <c r="H358" s="242"/>
      <c r="I358" s="242"/>
      <c r="J358" s="242"/>
      <c r="K358" s="9"/>
      <c r="L358" s="1"/>
      <c r="M358" s="1"/>
      <c r="N358" s="1"/>
      <c r="O358" s="1"/>
      <c r="P358" s="1"/>
      <c r="Q358" s="1"/>
      <c r="R358" s="1"/>
    </row>
    <row r="359" spans="1:18">
      <c r="A359" s="1"/>
      <c r="C359" s="241"/>
      <c r="D359" s="1"/>
      <c r="E359" s="300"/>
      <c r="F359" s="300"/>
      <c r="G359" s="1"/>
      <c r="H359" s="242"/>
      <c r="I359" s="242"/>
      <c r="J359" s="242"/>
      <c r="K359" s="9"/>
      <c r="L359" s="1"/>
      <c r="M359" s="1"/>
      <c r="N359" s="1"/>
      <c r="O359" s="1"/>
      <c r="P359" s="1"/>
      <c r="Q359" s="1"/>
      <c r="R359" s="1"/>
    </row>
    <row r="360" spans="1:18">
      <c r="A360" s="1"/>
      <c r="C360" s="241"/>
      <c r="D360" s="1"/>
      <c r="E360" s="300"/>
      <c r="F360" s="300"/>
      <c r="G360" s="1"/>
      <c r="H360" s="242"/>
      <c r="I360" s="242"/>
      <c r="J360" s="242"/>
      <c r="K360" s="9"/>
      <c r="L360" s="1"/>
      <c r="M360" s="1"/>
      <c r="N360" s="1"/>
      <c r="O360" s="1"/>
      <c r="P360" s="1"/>
      <c r="Q360" s="1"/>
      <c r="R360" s="1"/>
    </row>
    <row r="361" spans="1:18">
      <c r="A361" s="1"/>
      <c r="C361" s="241"/>
      <c r="D361" s="1"/>
      <c r="E361" s="300"/>
      <c r="F361" s="300"/>
      <c r="G361" s="1"/>
      <c r="H361" s="242"/>
      <c r="I361" s="242"/>
      <c r="J361" s="242"/>
      <c r="K361" s="9"/>
      <c r="L361" s="1"/>
      <c r="M361" s="1"/>
      <c r="N361" s="1"/>
      <c r="O361" s="1"/>
      <c r="P361" s="1"/>
      <c r="Q361" s="1"/>
      <c r="R361" s="1"/>
    </row>
    <row r="362" spans="1:18">
      <c r="A362" s="1"/>
      <c r="C362" s="241"/>
      <c r="D362" s="1"/>
      <c r="E362" s="300"/>
      <c r="F362" s="300"/>
      <c r="G362" s="1"/>
      <c r="H362" s="242"/>
      <c r="I362" s="242"/>
      <c r="J362" s="242"/>
      <c r="K362" s="9"/>
      <c r="L362" s="1"/>
      <c r="M362" s="1"/>
      <c r="N362" s="1"/>
      <c r="O362" s="1"/>
      <c r="P362" s="1"/>
      <c r="Q362" s="1"/>
      <c r="R362" s="1"/>
    </row>
    <row r="363" spans="1:18">
      <c r="A363" s="1"/>
      <c r="C363" s="241"/>
      <c r="D363" s="1"/>
      <c r="E363" s="300"/>
      <c r="F363" s="300"/>
      <c r="G363" s="1"/>
      <c r="H363" s="242"/>
      <c r="I363" s="242"/>
      <c r="J363" s="242"/>
      <c r="K363" s="9"/>
      <c r="L363" s="1"/>
      <c r="M363" s="1"/>
      <c r="N363" s="1"/>
      <c r="O363" s="1"/>
      <c r="P363" s="1"/>
      <c r="Q363" s="1"/>
      <c r="R363" s="1"/>
    </row>
    <row r="364" spans="1:18">
      <c r="A364" s="1"/>
      <c r="C364" s="241"/>
      <c r="D364" s="1"/>
      <c r="E364" s="300"/>
      <c r="F364" s="300"/>
      <c r="G364" s="1"/>
      <c r="H364" s="242"/>
      <c r="I364" s="242"/>
      <c r="J364" s="242"/>
      <c r="K364" s="9"/>
      <c r="L364" s="1"/>
      <c r="M364" s="1"/>
      <c r="N364" s="1"/>
      <c r="O364" s="1"/>
      <c r="P364" s="1"/>
      <c r="Q364" s="1"/>
      <c r="R364" s="1"/>
    </row>
    <row r="365" spans="1:18">
      <c r="A365" s="1"/>
      <c r="C365" s="241"/>
      <c r="D365" s="1"/>
      <c r="E365" s="300"/>
      <c r="F365" s="300"/>
      <c r="G365" s="1"/>
      <c r="H365" s="242"/>
      <c r="I365" s="242"/>
      <c r="J365" s="242"/>
      <c r="K365" s="9"/>
      <c r="L365" s="1"/>
      <c r="M365" s="1"/>
      <c r="N365" s="1"/>
      <c r="O365" s="1"/>
      <c r="P365" s="1"/>
      <c r="Q365" s="1"/>
      <c r="R365" s="1"/>
    </row>
    <row r="366" spans="1:18">
      <c r="A366" s="1"/>
      <c r="C366" s="241"/>
      <c r="D366" s="1"/>
      <c r="E366" s="300"/>
      <c r="F366" s="300"/>
      <c r="G366" s="1"/>
      <c r="H366" s="242"/>
      <c r="I366" s="242"/>
      <c r="J366" s="242"/>
      <c r="K366" s="9"/>
      <c r="L366" s="1"/>
      <c r="M366" s="1"/>
      <c r="N366" s="1"/>
      <c r="O366" s="1"/>
      <c r="P366" s="1"/>
      <c r="Q366" s="1"/>
      <c r="R366" s="1"/>
    </row>
    <row r="367" spans="1:18">
      <c r="A367" s="1"/>
      <c r="C367" s="241"/>
      <c r="D367" s="1"/>
      <c r="E367" s="300"/>
      <c r="F367" s="300"/>
      <c r="G367" s="1"/>
      <c r="H367" s="242"/>
      <c r="I367" s="242"/>
      <c r="J367" s="242"/>
      <c r="K367" s="9"/>
      <c r="L367" s="1"/>
      <c r="M367" s="1"/>
      <c r="N367" s="1"/>
      <c r="O367" s="1"/>
      <c r="P367" s="1"/>
      <c r="Q367" s="1"/>
      <c r="R367" s="1"/>
    </row>
    <row r="368" spans="1:18">
      <c r="A368" s="1"/>
      <c r="C368" s="241"/>
      <c r="D368" s="1"/>
      <c r="E368" s="300"/>
      <c r="F368" s="300"/>
      <c r="G368" s="1"/>
      <c r="H368" s="242"/>
      <c r="I368" s="242"/>
      <c r="J368" s="242"/>
      <c r="K368" s="9"/>
      <c r="L368" s="1"/>
      <c r="M368" s="1"/>
      <c r="N368" s="1"/>
      <c r="O368" s="1"/>
      <c r="P368" s="1"/>
      <c r="Q368" s="1"/>
      <c r="R368" s="1"/>
    </row>
    <row r="369" spans="1:18">
      <c r="A369" s="1"/>
      <c r="C369" s="241"/>
      <c r="D369" s="1"/>
      <c r="E369" s="300"/>
      <c r="F369" s="300"/>
      <c r="G369" s="1"/>
      <c r="H369" s="242"/>
      <c r="I369" s="242"/>
      <c r="J369" s="242"/>
      <c r="K369" s="9"/>
      <c r="L369" s="1"/>
      <c r="M369" s="1"/>
      <c r="N369" s="1"/>
      <c r="O369" s="1"/>
      <c r="P369" s="1"/>
      <c r="Q369" s="1"/>
      <c r="R369" s="1"/>
    </row>
    <row r="370" spans="1:18">
      <c r="A370" s="1"/>
      <c r="C370" s="241"/>
      <c r="D370" s="1"/>
      <c r="E370" s="300"/>
      <c r="F370" s="300"/>
      <c r="G370" s="1"/>
      <c r="H370" s="242"/>
      <c r="I370" s="242"/>
      <c r="J370" s="242"/>
      <c r="K370" s="9"/>
      <c r="L370" s="1"/>
      <c r="M370" s="1"/>
      <c r="N370" s="1"/>
      <c r="O370" s="1"/>
      <c r="P370" s="1"/>
      <c r="Q370" s="1"/>
      <c r="R370" s="1"/>
    </row>
    <row r="371" spans="1:18">
      <c r="A371" s="1"/>
      <c r="C371" s="241"/>
      <c r="D371" s="1"/>
      <c r="E371" s="300"/>
      <c r="F371" s="300"/>
      <c r="G371" s="1"/>
      <c r="H371" s="242"/>
      <c r="I371" s="242"/>
      <c r="J371" s="242"/>
      <c r="K371" s="9"/>
      <c r="L371" s="1"/>
      <c r="M371" s="1"/>
      <c r="N371" s="1"/>
      <c r="O371" s="1"/>
      <c r="P371" s="1"/>
      <c r="Q371" s="1"/>
      <c r="R371" s="1"/>
    </row>
    <row r="372" spans="1:18">
      <c r="A372" s="1"/>
      <c r="C372" s="241"/>
      <c r="D372" s="1"/>
      <c r="E372" s="300"/>
      <c r="F372" s="300"/>
      <c r="G372" s="1"/>
      <c r="H372" s="242"/>
      <c r="I372" s="242"/>
      <c r="J372" s="242"/>
      <c r="K372" s="9"/>
      <c r="L372" s="1"/>
      <c r="M372" s="1"/>
      <c r="N372" s="1"/>
      <c r="O372" s="1"/>
      <c r="P372" s="1"/>
      <c r="Q372" s="1"/>
      <c r="R372" s="1"/>
    </row>
    <row r="373" spans="1:18">
      <c r="A373" s="1"/>
      <c r="C373" s="241"/>
      <c r="D373" s="1"/>
      <c r="E373" s="300"/>
      <c r="F373" s="300"/>
      <c r="G373" s="1"/>
      <c r="H373" s="242"/>
      <c r="I373" s="242"/>
      <c r="J373" s="242"/>
      <c r="K373" s="9"/>
      <c r="L373" s="1"/>
      <c r="M373" s="1"/>
      <c r="N373" s="1"/>
      <c r="O373" s="1"/>
      <c r="P373" s="1"/>
      <c r="Q373" s="1"/>
      <c r="R373" s="1"/>
    </row>
    <row r="374" spans="1:18">
      <c r="A374" s="1"/>
      <c r="C374" s="241"/>
      <c r="D374" s="1"/>
      <c r="E374" s="300"/>
      <c r="F374" s="300"/>
      <c r="G374" s="1"/>
      <c r="H374" s="242"/>
      <c r="I374" s="242"/>
      <c r="J374" s="242"/>
      <c r="K374" s="9"/>
      <c r="L374" s="1"/>
      <c r="M374" s="1"/>
      <c r="N374" s="1"/>
      <c r="O374" s="1"/>
      <c r="P374" s="1"/>
      <c r="Q374" s="1"/>
      <c r="R374" s="1"/>
    </row>
    <row r="375" spans="1:18">
      <c r="A375" s="1"/>
      <c r="C375" s="241"/>
      <c r="D375" s="1"/>
      <c r="E375" s="300"/>
      <c r="F375" s="300"/>
      <c r="G375" s="1"/>
      <c r="H375" s="242"/>
      <c r="I375" s="242"/>
      <c r="J375" s="242"/>
      <c r="K375" s="9"/>
      <c r="L375" s="1"/>
      <c r="M375" s="1"/>
      <c r="N375" s="1"/>
      <c r="O375" s="1"/>
      <c r="P375" s="1"/>
      <c r="Q375" s="1"/>
      <c r="R375" s="1"/>
    </row>
    <row r="376" spans="1:18">
      <c r="A376" s="1"/>
      <c r="C376" s="241"/>
      <c r="D376" s="1"/>
      <c r="E376" s="300"/>
      <c r="F376" s="300"/>
      <c r="G376" s="1"/>
      <c r="H376" s="242"/>
      <c r="I376" s="242"/>
      <c r="J376" s="242"/>
      <c r="K376" s="9"/>
      <c r="L376" s="1"/>
      <c r="M376" s="1"/>
      <c r="N376" s="1"/>
      <c r="O376" s="1"/>
      <c r="P376" s="1"/>
      <c r="Q376" s="1"/>
      <c r="R376" s="1"/>
    </row>
    <row r="377" spans="1:18">
      <c r="A377" s="1"/>
      <c r="C377" s="241"/>
      <c r="D377" s="1"/>
      <c r="E377" s="300"/>
      <c r="F377" s="300"/>
      <c r="G377" s="1"/>
      <c r="H377" s="242"/>
      <c r="I377" s="242"/>
      <c r="J377" s="242"/>
      <c r="K377" s="9"/>
      <c r="L377" s="1"/>
      <c r="M377" s="1"/>
      <c r="N377" s="1"/>
      <c r="O377" s="1"/>
      <c r="P377" s="1"/>
      <c r="Q377" s="1"/>
      <c r="R377" s="1"/>
    </row>
    <row r="378" spans="1:18">
      <c r="A378" s="1"/>
      <c r="C378" s="241"/>
      <c r="D378" s="1"/>
      <c r="E378" s="300"/>
      <c r="F378" s="300"/>
      <c r="G378" s="1"/>
      <c r="H378" s="242"/>
      <c r="I378" s="242"/>
      <c r="J378" s="242"/>
      <c r="K378" s="9"/>
      <c r="L378" s="1"/>
      <c r="M378" s="1"/>
      <c r="N378" s="1"/>
      <c r="O378" s="1"/>
      <c r="P378" s="1"/>
      <c r="Q378" s="1"/>
      <c r="R378" s="1"/>
    </row>
    <row r="379" spans="1:18">
      <c r="A379" s="1"/>
      <c r="C379" s="241"/>
      <c r="D379" s="1"/>
      <c r="E379" s="300"/>
      <c r="F379" s="300"/>
      <c r="G379" s="1"/>
      <c r="H379" s="242"/>
      <c r="I379" s="242"/>
      <c r="J379" s="242"/>
      <c r="K379" s="9"/>
      <c r="L379" s="1"/>
      <c r="M379" s="1"/>
      <c r="N379" s="1"/>
      <c r="O379" s="1"/>
      <c r="P379" s="1"/>
      <c r="Q379" s="1"/>
      <c r="R379" s="1"/>
    </row>
    <row r="380" spans="1:18">
      <c r="A380" s="1"/>
      <c r="C380" s="241"/>
      <c r="D380" s="1"/>
      <c r="E380" s="300"/>
      <c r="F380" s="300"/>
      <c r="G380" s="1"/>
      <c r="H380" s="242"/>
      <c r="I380" s="242"/>
      <c r="J380" s="242"/>
      <c r="K380" s="9"/>
      <c r="L380" s="1"/>
      <c r="M380" s="1"/>
      <c r="N380" s="1"/>
      <c r="O380" s="1"/>
      <c r="P380" s="1"/>
      <c r="Q380" s="1"/>
      <c r="R380" s="1"/>
    </row>
    <row r="381" spans="1:18">
      <c r="A381" s="1"/>
      <c r="C381" s="241"/>
      <c r="D381" s="1"/>
      <c r="E381" s="300"/>
      <c r="F381" s="300"/>
      <c r="G381" s="1"/>
      <c r="H381" s="242"/>
      <c r="I381" s="242"/>
      <c r="J381" s="242"/>
      <c r="K381" s="9"/>
      <c r="L381" s="1"/>
      <c r="M381" s="1"/>
      <c r="N381" s="1"/>
      <c r="O381" s="1"/>
      <c r="P381" s="1"/>
      <c r="Q381" s="1"/>
      <c r="R381" s="1"/>
    </row>
    <row r="382" spans="1:18">
      <c r="A382" s="1"/>
      <c r="C382" s="241"/>
      <c r="D382" s="1"/>
      <c r="E382" s="300"/>
      <c r="F382" s="300"/>
      <c r="G382" s="1"/>
      <c r="H382" s="242"/>
      <c r="I382" s="242"/>
      <c r="J382" s="242"/>
      <c r="K382" s="9"/>
      <c r="L382" s="1"/>
      <c r="M382" s="1"/>
      <c r="N382" s="1"/>
      <c r="O382" s="1"/>
      <c r="P382" s="1"/>
      <c r="Q382" s="1"/>
      <c r="R382" s="1"/>
    </row>
    <row r="383" spans="1:18">
      <c r="A383" s="1"/>
      <c r="C383" s="241"/>
      <c r="D383" s="1"/>
      <c r="E383" s="300"/>
      <c r="F383" s="300"/>
      <c r="G383" s="1"/>
      <c r="H383" s="242"/>
      <c r="I383" s="242"/>
      <c r="J383" s="242"/>
      <c r="K383" s="9"/>
      <c r="L383" s="1"/>
      <c r="M383" s="1"/>
      <c r="N383" s="1"/>
      <c r="O383" s="1"/>
      <c r="P383" s="1"/>
      <c r="Q383" s="1"/>
      <c r="R383" s="1"/>
    </row>
    <row r="384" spans="1:18">
      <c r="A384" s="1"/>
      <c r="C384" s="241"/>
      <c r="D384" s="1"/>
      <c r="E384" s="300"/>
      <c r="F384" s="300"/>
      <c r="G384" s="1"/>
      <c r="H384" s="242"/>
      <c r="I384" s="242"/>
      <c r="J384" s="242"/>
      <c r="K384" s="9"/>
      <c r="L384" s="1"/>
      <c r="M384" s="1"/>
      <c r="N384" s="1"/>
      <c r="O384" s="1"/>
      <c r="P384" s="1"/>
      <c r="Q384" s="1"/>
      <c r="R384" s="1"/>
    </row>
    <row r="385" spans="1:18">
      <c r="A385" s="1"/>
      <c r="C385" s="241"/>
      <c r="D385" s="1"/>
      <c r="E385" s="300"/>
      <c r="F385" s="300"/>
      <c r="G385" s="1"/>
      <c r="H385" s="242"/>
      <c r="I385" s="242"/>
      <c r="J385" s="242"/>
      <c r="K385" s="9"/>
      <c r="L385" s="1"/>
      <c r="M385" s="1"/>
      <c r="N385" s="1"/>
      <c r="O385" s="1"/>
      <c r="P385" s="1"/>
      <c r="Q385" s="1"/>
      <c r="R385" s="1"/>
    </row>
    <row r="386" spans="1:18">
      <c r="A386" s="1"/>
      <c r="C386" s="241"/>
      <c r="D386" s="1"/>
      <c r="E386" s="300"/>
      <c r="F386" s="300"/>
      <c r="G386" s="1"/>
      <c r="H386" s="242"/>
      <c r="I386" s="242"/>
      <c r="J386" s="242"/>
      <c r="K386" s="9"/>
      <c r="L386" s="1"/>
      <c r="M386" s="1"/>
      <c r="N386" s="1"/>
      <c r="O386" s="1"/>
      <c r="P386" s="1"/>
      <c r="Q386" s="1"/>
      <c r="R386" s="1"/>
    </row>
    <row r="387" spans="1:18">
      <c r="A387" s="1"/>
      <c r="C387" s="241"/>
      <c r="D387" s="1"/>
      <c r="E387" s="300"/>
      <c r="F387" s="300"/>
      <c r="G387" s="1"/>
      <c r="H387" s="242"/>
      <c r="I387" s="242"/>
      <c r="J387" s="242"/>
      <c r="K387" s="9"/>
      <c r="L387" s="1"/>
      <c r="M387" s="1"/>
      <c r="N387" s="1"/>
      <c r="O387" s="1"/>
      <c r="P387" s="1"/>
      <c r="Q387" s="1"/>
      <c r="R387" s="1"/>
    </row>
    <row r="388" spans="1:18">
      <c r="A388" s="1"/>
      <c r="C388" s="241"/>
      <c r="D388" s="1"/>
      <c r="E388" s="300"/>
      <c r="F388" s="300"/>
      <c r="G388" s="1"/>
      <c r="H388" s="242"/>
      <c r="I388" s="242"/>
      <c r="J388" s="242"/>
      <c r="K388" s="9"/>
      <c r="L388" s="1"/>
      <c r="M388" s="1"/>
      <c r="N388" s="1"/>
      <c r="O388" s="1"/>
      <c r="P388" s="1"/>
      <c r="Q388" s="1"/>
      <c r="R388" s="1"/>
    </row>
    <row r="389" spans="1:18">
      <c r="A389" s="1"/>
      <c r="C389" s="241"/>
      <c r="D389" s="1"/>
      <c r="E389" s="300"/>
      <c r="F389" s="300"/>
      <c r="G389" s="1"/>
      <c r="H389" s="242"/>
      <c r="I389" s="242"/>
      <c r="J389" s="242"/>
      <c r="K389" s="9"/>
      <c r="L389" s="1"/>
      <c r="M389" s="1"/>
      <c r="N389" s="1"/>
      <c r="O389" s="1"/>
      <c r="P389" s="1"/>
      <c r="Q389" s="1"/>
      <c r="R389" s="1"/>
    </row>
    <row r="390" spans="1:18">
      <c r="A390" s="1"/>
      <c r="C390" s="241"/>
      <c r="D390" s="1"/>
      <c r="E390" s="300"/>
      <c r="F390" s="300"/>
      <c r="G390" s="1"/>
      <c r="H390" s="242"/>
      <c r="I390" s="242"/>
      <c r="J390" s="242"/>
      <c r="K390" s="9"/>
      <c r="L390" s="1"/>
      <c r="M390" s="1"/>
      <c r="N390" s="1"/>
      <c r="O390" s="1"/>
      <c r="P390" s="1"/>
      <c r="Q390" s="1"/>
      <c r="R390" s="1"/>
    </row>
    <row r="391" spans="1:18">
      <c r="A391" s="1"/>
      <c r="C391" s="241"/>
      <c r="D391" s="1"/>
      <c r="E391" s="300"/>
      <c r="F391" s="300"/>
      <c r="G391" s="1"/>
      <c r="H391" s="242"/>
      <c r="I391" s="242"/>
      <c r="J391" s="242"/>
      <c r="K391" s="9"/>
      <c r="L391" s="1"/>
      <c r="M391" s="1"/>
      <c r="N391" s="1"/>
      <c r="O391" s="1"/>
      <c r="P391" s="1"/>
      <c r="Q391" s="1"/>
      <c r="R391" s="1"/>
    </row>
    <row r="392" spans="1:18">
      <c r="A392" s="1"/>
      <c r="C392" s="241"/>
      <c r="D392" s="1"/>
      <c r="E392" s="300"/>
      <c r="F392" s="300"/>
      <c r="G392" s="1"/>
      <c r="H392" s="242"/>
      <c r="I392" s="242"/>
      <c r="J392" s="242"/>
      <c r="K392" s="9"/>
      <c r="L392" s="1"/>
      <c r="M392" s="1"/>
      <c r="N392" s="1"/>
      <c r="O392" s="1"/>
      <c r="P392" s="1"/>
      <c r="Q392" s="1"/>
      <c r="R392" s="1"/>
    </row>
    <row r="393" spans="1:18">
      <c r="A393" s="1"/>
      <c r="C393" s="241"/>
      <c r="D393" s="1"/>
      <c r="E393" s="300"/>
      <c r="F393" s="300"/>
      <c r="G393" s="1"/>
      <c r="H393" s="242"/>
      <c r="I393" s="242"/>
      <c r="J393" s="242"/>
      <c r="K393" s="9"/>
      <c r="L393" s="1"/>
      <c r="M393" s="1"/>
      <c r="N393" s="1"/>
      <c r="O393" s="1"/>
      <c r="P393" s="1"/>
      <c r="Q393" s="1"/>
      <c r="R393" s="1"/>
    </row>
    <row r="394" spans="1:18">
      <c r="A394" s="1"/>
      <c r="C394" s="241"/>
      <c r="D394" s="1"/>
      <c r="E394" s="300"/>
      <c r="F394" s="300"/>
      <c r="G394" s="1"/>
      <c r="H394" s="242"/>
      <c r="I394" s="242"/>
      <c r="J394" s="242"/>
      <c r="K394" s="9"/>
      <c r="L394" s="1"/>
      <c r="M394" s="1"/>
      <c r="N394" s="1"/>
      <c r="O394" s="1"/>
      <c r="P394" s="1"/>
      <c r="Q394" s="1"/>
      <c r="R394" s="1"/>
    </row>
    <row r="395" spans="1:18">
      <c r="A395" s="1"/>
      <c r="C395" s="241"/>
      <c r="D395" s="1"/>
      <c r="E395" s="300"/>
      <c r="F395" s="300"/>
      <c r="G395" s="1"/>
      <c r="H395" s="242"/>
      <c r="I395" s="242"/>
      <c r="J395" s="242"/>
      <c r="K395" s="9"/>
      <c r="L395" s="1"/>
      <c r="M395" s="1"/>
      <c r="N395" s="1"/>
      <c r="O395" s="1"/>
      <c r="P395" s="1"/>
      <c r="Q395" s="1"/>
      <c r="R395" s="1"/>
    </row>
    <row r="396" spans="1:18">
      <c r="A396" s="1"/>
      <c r="C396" s="241"/>
      <c r="D396" s="1"/>
      <c r="E396" s="300"/>
      <c r="F396" s="300"/>
      <c r="G396" s="1"/>
      <c r="H396" s="242"/>
      <c r="I396" s="242"/>
      <c r="J396" s="242"/>
      <c r="K396" s="9"/>
      <c r="L396" s="1"/>
      <c r="M396" s="1"/>
      <c r="N396" s="1"/>
      <c r="O396" s="1"/>
      <c r="P396" s="1"/>
      <c r="Q396" s="1"/>
      <c r="R396" s="1"/>
    </row>
    <row r="397" spans="1:18">
      <c r="A397" s="1"/>
      <c r="C397" s="241"/>
      <c r="D397" s="1"/>
      <c r="E397" s="300"/>
      <c r="F397" s="300"/>
      <c r="G397" s="1"/>
      <c r="H397" s="242"/>
      <c r="I397" s="242"/>
      <c r="J397" s="242"/>
      <c r="K397" s="9"/>
      <c r="L397" s="1"/>
      <c r="M397" s="1"/>
      <c r="N397" s="1"/>
      <c r="O397" s="1"/>
      <c r="P397" s="1"/>
      <c r="Q397" s="1"/>
      <c r="R397" s="1"/>
    </row>
    <row r="398" spans="1:18">
      <c r="A398" s="1"/>
      <c r="C398" s="241"/>
      <c r="D398" s="1"/>
      <c r="E398" s="300"/>
      <c r="F398" s="300"/>
      <c r="G398" s="1"/>
      <c r="H398" s="242"/>
      <c r="I398" s="242"/>
      <c r="J398" s="242"/>
      <c r="K398" s="9"/>
      <c r="L398" s="1"/>
      <c r="M398" s="1"/>
      <c r="N398" s="1"/>
      <c r="O398" s="1"/>
      <c r="P398" s="1"/>
      <c r="Q398" s="1"/>
      <c r="R398" s="1"/>
    </row>
    <row r="399" spans="1:18">
      <c r="A399" s="1"/>
      <c r="C399" s="241"/>
      <c r="D399" s="1"/>
      <c r="E399" s="300"/>
      <c r="F399" s="300"/>
      <c r="G399" s="1"/>
      <c r="H399" s="242"/>
      <c r="I399" s="242"/>
      <c r="J399" s="242"/>
      <c r="K399" s="9"/>
      <c r="L399" s="1"/>
      <c r="M399" s="1"/>
      <c r="N399" s="1"/>
      <c r="O399" s="1"/>
      <c r="P399" s="1"/>
      <c r="Q399" s="1"/>
      <c r="R399" s="1"/>
    </row>
    <row r="400" spans="1:18">
      <c r="A400" s="1"/>
      <c r="C400" s="241"/>
      <c r="D400" s="1"/>
      <c r="E400" s="300"/>
      <c r="F400" s="300"/>
      <c r="G400" s="1"/>
      <c r="H400" s="242"/>
      <c r="I400" s="242"/>
      <c r="J400" s="242"/>
      <c r="K400" s="9"/>
      <c r="L400" s="1"/>
      <c r="M400" s="1"/>
      <c r="N400" s="1"/>
      <c r="O400" s="1"/>
      <c r="P400" s="1"/>
      <c r="Q400" s="1"/>
      <c r="R400" s="1"/>
    </row>
    <row r="401" spans="1:18">
      <c r="A401" s="1"/>
      <c r="C401" s="241"/>
      <c r="D401" s="1"/>
      <c r="E401" s="300"/>
      <c r="F401" s="300"/>
      <c r="G401" s="1"/>
      <c r="H401" s="242"/>
      <c r="I401" s="242"/>
      <c r="J401" s="242"/>
      <c r="K401" s="9"/>
      <c r="L401" s="1"/>
      <c r="M401" s="1"/>
      <c r="N401" s="1"/>
      <c r="O401" s="1"/>
      <c r="P401" s="1"/>
      <c r="Q401" s="1"/>
      <c r="R401" s="1"/>
    </row>
    <row r="402" spans="1:18">
      <c r="A402" s="1"/>
      <c r="C402" s="241"/>
      <c r="D402" s="1"/>
      <c r="E402" s="300"/>
      <c r="F402" s="300"/>
      <c r="G402" s="1"/>
      <c r="H402" s="242"/>
      <c r="I402" s="242"/>
      <c r="J402" s="242"/>
      <c r="K402" s="9"/>
      <c r="L402" s="1"/>
      <c r="M402" s="1"/>
      <c r="N402" s="1"/>
      <c r="O402" s="1"/>
      <c r="P402" s="1"/>
      <c r="Q402" s="1"/>
      <c r="R402" s="1"/>
    </row>
    <row r="403" spans="1:18">
      <c r="A403" s="1"/>
      <c r="C403" s="241"/>
      <c r="D403" s="1"/>
      <c r="E403" s="300"/>
      <c r="F403" s="300"/>
      <c r="G403" s="1"/>
      <c r="H403" s="242"/>
      <c r="I403" s="242"/>
      <c r="J403" s="242"/>
      <c r="K403" s="9"/>
      <c r="L403" s="1"/>
      <c r="M403" s="1"/>
      <c r="N403" s="1"/>
      <c r="O403" s="1"/>
      <c r="P403" s="1"/>
      <c r="Q403" s="1"/>
      <c r="R403" s="1"/>
    </row>
    <row r="404" spans="1:18">
      <c r="A404" s="1"/>
      <c r="C404" s="241"/>
      <c r="D404" s="1"/>
      <c r="E404" s="300"/>
      <c r="F404" s="300"/>
      <c r="G404" s="1"/>
      <c r="H404" s="242"/>
      <c r="I404" s="242"/>
      <c r="J404" s="242"/>
      <c r="K404" s="9"/>
      <c r="L404" s="1"/>
      <c r="M404" s="1"/>
      <c r="N404" s="1"/>
      <c r="O404" s="1"/>
      <c r="P404" s="1"/>
      <c r="Q404" s="1"/>
      <c r="R404" s="1"/>
    </row>
    <row r="405" spans="1:18">
      <c r="A405" s="1"/>
      <c r="C405" s="241"/>
      <c r="D405" s="1"/>
      <c r="E405" s="300"/>
      <c r="F405" s="300"/>
      <c r="G405" s="1"/>
      <c r="H405" s="242"/>
      <c r="I405" s="242"/>
      <c r="J405" s="242"/>
      <c r="K405" s="9"/>
      <c r="L405" s="1"/>
      <c r="M405" s="1"/>
      <c r="N405" s="1"/>
      <c r="O405" s="1"/>
      <c r="P405" s="1"/>
      <c r="Q405" s="1"/>
      <c r="R405" s="1"/>
    </row>
    <row r="406" spans="1:18">
      <c r="A406" s="1"/>
      <c r="C406" s="241"/>
      <c r="D406" s="1"/>
      <c r="E406" s="300"/>
      <c r="F406" s="300"/>
      <c r="G406" s="1"/>
      <c r="H406" s="242"/>
      <c r="I406" s="242"/>
      <c r="J406" s="242"/>
      <c r="K406" s="9"/>
      <c r="L406" s="1"/>
      <c r="M406" s="1"/>
      <c r="N406" s="1"/>
      <c r="O406" s="1"/>
      <c r="P406" s="1"/>
      <c r="Q406" s="1"/>
      <c r="R406" s="1"/>
    </row>
    <row r="407" spans="1:18">
      <c r="A407" s="1"/>
      <c r="C407" s="241"/>
      <c r="D407" s="1"/>
      <c r="E407" s="300"/>
      <c r="F407" s="300"/>
      <c r="G407" s="1"/>
      <c r="H407" s="242"/>
      <c r="I407" s="242"/>
      <c r="J407" s="242"/>
      <c r="K407" s="9"/>
      <c r="L407" s="1"/>
      <c r="M407" s="1"/>
      <c r="N407" s="1"/>
      <c r="O407" s="1"/>
      <c r="P407" s="1"/>
      <c r="Q407" s="1"/>
      <c r="R407" s="1"/>
    </row>
    <row r="408" spans="1:18">
      <c r="A408" s="1"/>
      <c r="C408" s="241"/>
      <c r="D408" s="1"/>
      <c r="E408" s="300"/>
      <c r="F408" s="300"/>
      <c r="G408" s="1"/>
      <c r="H408" s="242"/>
      <c r="I408" s="242"/>
      <c r="J408" s="242"/>
      <c r="K408" s="9"/>
      <c r="L408" s="1"/>
      <c r="M408" s="1"/>
      <c r="N408" s="1"/>
      <c r="O408" s="1"/>
      <c r="P408" s="1"/>
      <c r="Q408" s="1"/>
      <c r="R408" s="1"/>
    </row>
    <row r="409" spans="1:18">
      <c r="A409" s="1"/>
      <c r="C409" s="241"/>
      <c r="D409" s="1"/>
      <c r="E409" s="300"/>
      <c r="F409" s="300"/>
      <c r="G409" s="1"/>
      <c r="H409" s="242"/>
      <c r="I409" s="242"/>
      <c r="J409" s="242"/>
      <c r="K409" s="9"/>
      <c r="L409" s="1"/>
      <c r="M409" s="1"/>
      <c r="N409" s="1"/>
      <c r="O409" s="1"/>
      <c r="P409" s="1"/>
      <c r="Q409" s="1"/>
      <c r="R409" s="1"/>
    </row>
    <row r="410" spans="1:18">
      <c r="A410" s="1"/>
      <c r="C410" s="241"/>
      <c r="D410" s="1"/>
      <c r="E410" s="300"/>
      <c r="F410" s="300"/>
      <c r="G410" s="1"/>
      <c r="H410" s="242"/>
      <c r="I410" s="242"/>
      <c r="J410" s="242"/>
      <c r="K410" s="9"/>
      <c r="L410" s="1"/>
      <c r="M410" s="1"/>
      <c r="N410" s="1"/>
      <c r="O410" s="1"/>
      <c r="P410" s="1"/>
      <c r="Q410" s="1"/>
      <c r="R410" s="1"/>
    </row>
    <row r="411" spans="1:18">
      <c r="A411" s="1"/>
      <c r="C411" s="241"/>
      <c r="D411" s="1"/>
      <c r="E411" s="300"/>
      <c r="F411" s="300"/>
      <c r="G411" s="1"/>
      <c r="H411" s="242"/>
      <c r="I411" s="242"/>
      <c r="J411" s="242"/>
      <c r="K411" s="9"/>
      <c r="L411" s="1"/>
      <c r="M411" s="1"/>
      <c r="N411" s="1"/>
      <c r="O411" s="1"/>
      <c r="P411" s="1"/>
      <c r="Q411" s="1"/>
      <c r="R411" s="1"/>
    </row>
    <row r="412" spans="1:18">
      <c r="A412" s="1"/>
      <c r="C412" s="241"/>
      <c r="D412" s="1"/>
      <c r="E412" s="300"/>
      <c r="F412" s="300"/>
      <c r="G412" s="1"/>
      <c r="H412" s="242"/>
      <c r="I412" s="242"/>
      <c r="J412" s="242"/>
      <c r="K412" s="9"/>
      <c r="L412" s="1"/>
      <c r="M412" s="1"/>
      <c r="N412" s="1"/>
      <c r="O412" s="1"/>
      <c r="P412" s="1"/>
      <c r="Q412" s="1"/>
      <c r="R412" s="1"/>
    </row>
    <row r="413" spans="1:18">
      <c r="A413" s="1"/>
      <c r="C413" s="241"/>
      <c r="D413" s="1"/>
      <c r="E413" s="300"/>
      <c r="F413" s="300"/>
      <c r="G413" s="1"/>
      <c r="H413" s="242"/>
      <c r="I413" s="242"/>
      <c r="J413" s="242"/>
      <c r="K413" s="9"/>
      <c r="L413" s="1"/>
      <c r="M413" s="1"/>
      <c r="N413" s="1"/>
      <c r="O413" s="1"/>
      <c r="P413" s="1"/>
      <c r="Q413" s="1"/>
      <c r="R413" s="1"/>
    </row>
    <row r="414" spans="1:18">
      <c r="A414" s="1"/>
      <c r="C414" s="241"/>
      <c r="D414" s="1"/>
      <c r="E414" s="300"/>
      <c r="F414" s="300"/>
      <c r="G414" s="1"/>
      <c r="H414" s="242"/>
      <c r="I414" s="242"/>
      <c r="J414" s="242"/>
      <c r="K414" s="9"/>
      <c r="L414" s="1"/>
      <c r="M414" s="1"/>
      <c r="N414" s="1"/>
      <c r="O414" s="1"/>
      <c r="P414" s="1"/>
      <c r="Q414" s="1"/>
      <c r="R414" s="1"/>
    </row>
    <row r="415" spans="1:18">
      <c r="A415" s="1"/>
      <c r="C415" s="241"/>
      <c r="D415" s="1"/>
      <c r="E415" s="300"/>
      <c r="F415" s="300"/>
      <c r="G415" s="1"/>
      <c r="H415" s="242"/>
      <c r="I415" s="242"/>
      <c r="J415" s="242"/>
      <c r="K415" s="9"/>
      <c r="L415" s="1"/>
      <c r="M415" s="1"/>
      <c r="N415" s="1"/>
      <c r="O415" s="1"/>
      <c r="P415" s="1"/>
      <c r="Q415" s="1"/>
      <c r="R415" s="1"/>
    </row>
    <row r="416" spans="1:18">
      <c r="A416" s="1"/>
      <c r="C416" s="241"/>
      <c r="D416" s="1"/>
      <c r="E416" s="300"/>
      <c r="F416" s="300"/>
      <c r="G416" s="1"/>
      <c r="H416" s="242"/>
      <c r="I416" s="242"/>
      <c r="J416" s="242"/>
      <c r="K416" s="9"/>
      <c r="L416" s="1"/>
      <c r="M416" s="1"/>
      <c r="N416" s="1"/>
      <c r="O416" s="1"/>
      <c r="P416" s="1"/>
      <c r="Q416" s="1"/>
      <c r="R416" s="1"/>
    </row>
    <row r="417" spans="1:18">
      <c r="A417" s="1"/>
      <c r="C417" s="241"/>
      <c r="D417" s="1"/>
      <c r="E417" s="300"/>
      <c r="F417" s="300"/>
      <c r="G417" s="1"/>
      <c r="H417" s="242"/>
      <c r="I417" s="242"/>
      <c r="J417" s="242"/>
      <c r="K417" s="9"/>
      <c r="L417" s="1"/>
      <c r="M417" s="1"/>
      <c r="N417" s="1"/>
      <c r="O417" s="1"/>
      <c r="P417" s="1"/>
      <c r="Q417" s="1"/>
      <c r="R417" s="1"/>
    </row>
    <row r="418" spans="1:18">
      <c r="A418" s="1"/>
      <c r="C418" s="241"/>
      <c r="D418" s="1"/>
      <c r="E418" s="300"/>
      <c r="F418" s="300"/>
      <c r="G418" s="1"/>
      <c r="H418" s="242"/>
      <c r="I418" s="242"/>
      <c r="J418" s="242"/>
      <c r="K418" s="9"/>
      <c r="L418" s="1"/>
      <c r="M418" s="1"/>
      <c r="N418" s="1"/>
      <c r="O418" s="1"/>
      <c r="P418" s="1"/>
      <c r="Q418" s="1"/>
      <c r="R418" s="1"/>
    </row>
    <row r="419" spans="1:18">
      <c r="A419" s="1"/>
      <c r="C419" s="241"/>
      <c r="D419" s="1"/>
      <c r="E419" s="300"/>
      <c r="F419" s="300"/>
      <c r="G419" s="1"/>
      <c r="H419" s="242"/>
      <c r="I419" s="242"/>
      <c r="J419" s="242"/>
      <c r="K419" s="9"/>
      <c r="L419" s="1"/>
      <c r="M419" s="1"/>
      <c r="N419" s="1"/>
      <c r="O419" s="1"/>
      <c r="P419" s="1"/>
      <c r="Q419" s="1"/>
      <c r="R419" s="1"/>
    </row>
    <row r="420" spans="1:18">
      <c r="A420" s="1"/>
      <c r="C420" s="241"/>
      <c r="D420" s="1"/>
      <c r="E420" s="300"/>
      <c r="F420" s="300"/>
      <c r="G420" s="1"/>
      <c r="H420" s="242"/>
      <c r="I420" s="242"/>
      <c r="J420" s="242"/>
      <c r="K420" s="9"/>
      <c r="L420" s="1"/>
      <c r="M420" s="1"/>
      <c r="N420" s="1"/>
      <c r="O420" s="1"/>
      <c r="P420" s="1"/>
      <c r="Q420" s="1"/>
      <c r="R420" s="1"/>
    </row>
    <row r="421" spans="1:18">
      <c r="A421" s="1"/>
      <c r="C421" s="241"/>
      <c r="D421" s="1"/>
      <c r="E421" s="300"/>
      <c r="F421" s="300"/>
      <c r="G421" s="1"/>
      <c r="H421" s="242"/>
      <c r="I421" s="242"/>
      <c r="J421" s="242"/>
      <c r="K421" s="9"/>
      <c r="L421" s="1"/>
      <c r="M421" s="1"/>
      <c r="N421" s="1"/>
      <c r="O421" s="1"/>
      <c r="P421" s="1"/>
      <c r="Q421" s="1"/>
      <c r="R421" s="1"/>
    </row>
    <row r="422" spans="1:18">
      <c r="A422" s="1"/>
      <c r="C422" s="241"/>
      <c r="D422" s="1"/>
      <c r="E422" s="300"/>
      <c r="F422" s="300"/>
      <c r="G422" s="1"/>
      <c r="H422" s="242"/>
      <c r="I422" s="242"/>
      <c r="J422" s="242"/>
      <c r="K422" s="9"/>
      <c r="L422" s="1"/>
      <c r="M422" s="1"/>
      <c r="N422" s="1"/>
      <c r="O422" s="1"/>
      <c r="P422" s="1"/>
      <c r="Q422" s="1"/>
      <c r="R422" s="1"/>
    </row>
    <row r="423" spans="1:18">
      <c r="A423" s="1"/>
      <c r="C423" s="241"/>
      <c r="D423" s="1"/>
      <c r="E423" s="300"/>
      <c r="F423" s="300"/>
      <c r="G423" s="1"/>
      <c r="H423" s="242"/>
      <c r="I423" s="242"/>
      <c r="J423" s="242"/>
      <c r="K423" s="9"/>
      <c r="L423" s="1"/>
      <c r="M423" s="1"/>
      <c r="N423" s="1"/>
      <c r="O423" s="1"/>
      <c r="P423" s="1"/>
      <c r="Q423" s="1"/>
      <c r="R423" s="1"/>
    </row>
    <row r="424" spans="1:18">
      <c r="A424" s="1"/>
      <c r="C424" s="241"/>
      <c r="D424" s="1"/>
      <c r="E424" s="300"/>
      <c r="F424" s="300"/>
      <c r="G424" s="1"/>
      <c r="H424" s="242"/>
      <c r="I424" s="242"/>
      <c r="J424" s="242"/>
      <c r="K424" s="9"/>
      <c r="L424" s="1"/>
      <c r="M424" s="1"/>
      <c r="N424" s="1"/>
      <c r="O424" s="1"/>
      <c r="P424" s="1"/>
      <c r="Q424" s="1"/>
      <c r="R424" s="1"/>
    </row>
    <row r="425" spans="1:18">
      <c r="A425" s="1"/>
      <c r="C425" s="241"/>
      <c r="D425" s="1"/>
      <c r="E425" s="300"/>
      <c r="F425" s="300"/>
      <c r="G425" s="1"/>
      <c r="H425" s="242"/>
      <c r="I425" s="242"/>
      <c r="J425" s="242"/>
      <c r="K425" s="9"/>
      <c r="L425" s="1"/>
      <c r="M425" s="1"/>
      <c r="N425" s="1"/>
      <c r="O425" s="1"/>
      <c r="P425" s="1"/>
      <c r="Q425" s="1"/>
      <c r="R425" s="1"/>
    </row>
    <row r="426" spans="1:18">
      <c r="A426" s="1"/>
      <c r="C426" s="241"/>
      <c r="D426" s="1"/>
      <c r="E426" s="300"/>
      <c r="F426" s="300"/>
      <c r="G426" s="1"/>
      <c r="H426" s="242"/>
      <c r="I426" s="242"/>
      <c r="J426" s="242"/>
      <c r="K426" s="9"/>
      <c r="L426" s="1"/>
      <c r="M426" s="1"/>
      <c r="N426" s="1"/>
      <c r="O426" s="1"/>
      <c r="P426" s="1"/>
      <c r="Q426" s="1"/>
      <c r="R426" s="1"/>
    </row>
    <row r="427" spans="1:18">
      <c r="A427" s="1"/>
      <c r="C427" s="241"/>
      <c r="D427" s="1"/>
      <c r="E427" s="300"/>
      <c r="F427" s="300"/>
      <c r="G427" s="1"/>
      <c r="H427" s="242"/>
      <c r="I427" s="242"/>
      <c r="J427" s="242"/>
      <c r="K427" s="9"/>
      <c r="L427" s="1"/>
      <c r="M427" s="1"/>
      <c r="N427" s="1"/>
      <c r="O427" s="1"/>
      <c r="P427" s="1"/>
      <c r="Q427" s="1"/>
      <c r="R427" s="1"/>
    </row>
    <row r="428" spans="1:18">
      <c r="A428" s="1"/>
      <c r="C428" s="241"/>
      <c r="D428" s="1"/>
      <c r="E428" s="300"/>
      <c r="F428" s="300"/>
      <c r="G428" s="1"/>
      <c r="H428" s="242"/>
      <c r="I428" s="242"/>
      <c r="J428" s="242"/>
      <c r="K428" s="9"/>
      <c r="L428" s="1"/>
      <c r="M428" s="1"/>
      <c r="N428" s="1"/>
      <c r="O428" s="1"/>
      <c r="P428" s="1"/>
      <c r="Q428" s="1"/>
      <c r="R428" s="1"/>
    </row>
    <row r="429" spans="1:18">
      <c r="A429" s="1"/>
      <c r="C429" s="241"/>
      <c r="D429" s="1"/>
      <c r="E429" s="300"/>
      <c r="F429" s="300"/>
      <c r="G429" s="1"/>
      <c r="H429" s="242"/>
      <c r="I429" s="242"/>
      <c r="J429" s="242"/>
      <c r="K429" s="9"/>
      <c r="L429" s="1"/>
      <c r="M429" s="1"/>
      <c r="N429" s="1"/>
      <c r="O429" s="1"/>
      <c r="P429" s="1"/>
      <c r="Q429" s="1"/>
      <c r="R429" s="1"/>
    </row>
    <row r="430" spans="1:18">
      <c r="A430" s="1"/>
      <c r="C430" s="241"/>
      <c r="D430" s="1"/>
      <c r="E430" s="300"/>
      <c r="F430" s="300"/>
      <c r="G430" s="1"/>
      <c r="H430" s="242"/>
      <c r="I430" s="242"/>
      <c r="J430" s="242"/>
      <c r="K430" s="9"/>
      <c r="L430" s="1"/>
      <c r="M430" s="1"/>
      <c r="N430" s="1"/>
      <c r="O430" s="1"/>
      <c r="P430" s="1"/>
      <c r="Q430" s="1"/>
      <c r="R430" s="1"/>
    </row>
    <row r="431" spans="1:18">
      <c r="A431" s="1"/>
      <c r="C431" s="241"/>
      <c r="D431" s="1"/>
      <c r="E431" s="300"/>
      <c r="F431" s="300"/>
      <c r="G431" s="1"/>
      <c r="H431" s="242"/>
      <c r="I431" s="242"/>
      <c r="J431" s="242"/>
      <c r="K431" s="9"/>
      <c r="L431" s="1"/>
      <c r="M431" s="1"/>
      <c r="N431" s="1"/>
      <c r="O431" s="1"/>
      <c r="P431" s="1"/>
      <c r="Q431" s="1"/>
      <c r="R431" s="1"/>
    </row>
    <row r="432" spans="1:18">
      <c r="A432" s="1"/>
      <c r="C432" s="241"/>
      <c r="D432" s="1"/>
      <c r="E432" s="300"/>
      <c r="F432" s="300"/>
      <c r="G432" s="1"/>
      <c r="H432" s="242"/>
      <c r="I432" s="242"/>
      <c r="J432" s="242"/>
      <c r="K432" s="9"/>
      <c r="L432" s="1"/>
      <c r="M432" s="1"/>
      <c r="N432" s="1"/>
      <c r="O432" s="1"/>
      <c r="P432" s="1"/>
      <c r="Q432" s="1"/>
      <c r="R432" s="1"/>
    </row>
    <row r="433" spans="1:18">
      <c r="A433" s="1"/>
      <c r="C433" s="241"/>
      <c r="D433" s="1"/>
      <c r="E433" s="300"/>
      <c r="F433" s="300"/>
      <c r="G433" s="1"/>
      <c r="H433" s="242"/>
      <c r="I433" s="242"/>
      <c r="J433" s="242"/>
      <c r="K433" s="9"/>
      <c r="L433" s="1"/>
      <c r="M433" s="1"/>
      <c r="N433" s="1"/>
      <c r="O433" s="1"/>
      <c r="P433" s="1"/>
      <c r="Q433" s="1"/>
      <c r="R433" s="1"/>
    </row>
    <row r="434" spans="1:18">
      <c r="A434" s="1"/>
      <c r="C434" s="241"/>
      <c r="D434" s="1"/>
      <c r="E434" s="300"/>
      <c r="F434" s="300"/>
      <c r="G434" s="1"/>
      <c r="H434" s="242"/>
      <c r="I434" s="242"/>
      <c r="J434" s="242"/>
      <c r="K434" s="9"/>
      <c r="L434" s="1"/>
      <c r="M434" s="1"/>
      <c r="N434" s="1"/>
      <c r="O434" s="1"/>
      <c r="P434" s="1"/>
      <c r="Q434" s="1"/>
      <c r="R434" s="1"/>
    </row>
    <row r="435" spans="1:18">
      <c r="A435" s="1"/>
      <c r="C435" s="241"/>
      <c r="D435" s="1"/>
      <c r="E435" s="300"/>
      <c r="F435" s="300"/>
      <c r="G435" s="1"/>
      <c r="H435" s="242"/>
      <c r="I435" s="242"/>
      <c r="J435" s="242"/>
      <c r="K435" s="9"/>
      <c r="L435" s="1"/>
      <c r="M435" s="1"/>
      <c r="N435" s="1"/>
      <c r="O435" s="1"/>
      <c r="P435" s="1"/>
      <c r="Q435" s="1"/>
      <c r="R435" s="1"/>
    </row>
    <row r="436" spans="1:18">
      <c r="A436" s="1"/>
      <c r="C436" s="241"/>
      <c r="D436" s="1"/>
      <c r="E436" s="300"/>
      <c r="F436" s="300"/>
      <c r="G436" s="1"/>
      <c r="H436" s="242"/>
      <c r="I436" s="242"/>
      <c r="J436" s="242"/>
      <c r="K436" s="9"/>
      <c r="L436" s="1"/>
      <c r="M436" s="1"/>
      <c r="N436" s="1"/>
      <c r="O436" s="1"/>
      <c r="P436" s="1"/>
      <c r="Q436" s="1"/>
      <c r="R436" s="1"/>
    </row>
    <row r="437" spans="1:18">
      <c r="A437" s="1"/>
      <c r="C437" s="241"/>
      <c r="D437" s="1"/>
      <c r="E437" s="300"/>
      <c r="F437" s="300"/>
      <c r="G437" s="1"/>
      <c r="H437" s="242"/>
      <c r="I437" s="242"/>
      <c r="J437" s="242"/>
      <c r="K437" s="9"/>
      <c r="L437" s="1"/>
      <c r="M437" s="1"/>
      <c r="N437" s="1"/>
      <c r="O437" s="1"/>
      <c r="P437" s="1"/>
      <c r="Q437" s="1"/>
      <c r="R437" s="1"/>
    </row>
    <row r="438" spans="1:18">
      <c r="A438" s="1"/>
      <c r="C438" s="241"/>
      <c r="D438" s="1"/>
      <c r="E438" s="300"/>
      <c r="F438" s="300"/>
      <c r="G438" s="1"/>
      <c r="H438" s="242"/>
      <c r="I438" s="242"/>
      <c r="J438" s="242"/>
      <c r="K438" s="9"/>
      <c r="L438" s="1"/>
      <c r="M438" s="1"/>
      <c r="N438" s="1"/>
      <c r="O438" s="1"/>
      <c r="P438" s="1"/>
      <c r="Q438" s="1"/>
      <c r="R438" s="1"/>
    </row>
    <row r="439" spans="1:18">
      <c r="A439" s="1"/>
      <c r="C439" s="241"/>
      <c r="D439" s="1"/>
      <c r="E439" s="300"/>
      <c r="F439" s="300"/>
      <c r="G439" s="1"/>
      <c r="H439" s="242"/>
      <c r="I439" s="242"/>
      <c r="J439" s="242"/>
      <c r="K439" s="9"/>
      <c r="L439" s="1"/>
      <c r="M439" s="1"/>
      <c r="N439" s="1"/>
      <c r="O439" s="1"/>
      <c r="P439" s="1"/>
      <c r="Q439" s="1"/>
      <c r="R439" s="1"/>
    </row>
    <row r="440" spans="1:18">
      <c r="A440" s="1"/>
      <c r="C440" s="241"/>
      <c r="D440" s="1"/>
      <c r="E440" s="300"/>
      <c r="F440" s="300"/>
      <c r="G440" s="1"/>
      <c r="H440" s="242"/>
      <c r="I440" s="242"/>
      <c r="J440" s="242"/>
      <c r="K440" s="9"/>
      <c r="L440" s="1"/>
      <c r="M440" s="1"/>
      <c r="N440" s="1"/>
      <c r="O440" s="1"/>
      <c r="P440" s="1"/>
      <c r="Q440" s="1"/>
      <c r="R440" s="1"/>
    </row>
    <row r="441" spans="1:18">
      <c r="A441" s="1"/>
      <c r="C441" s="241"/>
      <c r="D441" s="1"/>
      <c r="E441" s="300"/>
      <c r="F441" s="300"/>
      <c r="G441" s="1"/>
      <c r="H441" s="242"/>
      <c r="I441" s="242"/>
      <c r="J441" s="242"/>
      <c r="K441" s="9"/>
      <c r="L441" s="1"/>
      <c r="M441" s="1"/>
      <c r="N441" s="1"/>
      <c r="O441" s="1"/>
      <c r="P441" s="1"/>
      <c r="Q441" s="1"/>
      <c r="R441" s="1"/>
    </row>
    <row r="442" spans="1:18">
      <c r="A442" s="1"/>
      <c r="C442" s="241"/>
      <c r="D442" s="1"/>
      <c r="E442" s="300"/>
      <c r="F442" s="300"/>
      <c r="G442" s="1"/>
      <c r="H442" s="242"/>
      <c r="I442" s="242"/>
      <c r="J442" s="242"/>
      <c r="K442" s="9"/>
      <c r="L442" s="1"/>
      <c r="M442" s="1"/>
      <c r="N442" s="1"/>
      <c r="O442" s="1"/>
      <c r="P442" s="1"/>
      <c r="Q442" s="1"/>
      <c r="R442" s="1"/>
    </row>
    <row r="443" spans="1:18">
      <c r="A443" s="1"/>
      <c r="C443" s="241"/>
      <c r="D443" s="1"/>
      <c r="E443" s="300"/>
      <c r="F443" s="300"/>
      <c r="G443" s="1"/>
      <c r="H443" s="242"/>
      <c r="I443" s="242"/>
      <c r="J443" s="242"/>
      <c r="K443" s="9"/>
      <c r="L443" s="1"/>
      <c r="M443" s="1"/>
      <c r="N443" s="1"/>
      <c r="O443" s="1"/>
      <c r="P443" s="1"/>
      <c r="Q443" s="1"/>
      <c r="R443" s="1"/>
    </row>
    <row r="444" spans="1:18">
      <c r="A444" s="1"/>
      <c r="C444" s="241"/>
      <c r="D444" s="1"/>
      <c r="E444" s="300"/>
      <c r="F444" s="300"/>
      <c r="G444" s="1"/>
      <c r="H444" s="242"/>
      <c r="I444" s="242"/>
      <c r="J444" s="242"/>
      <c r="K444" s="9"/>
      <c r="L444" s="1"/>
      <c r="M444" s="1"/>
      <c r="N444" s="1"/>
      <c r="O444" s="1"/>
      <c r="P444" s="1"/>
      <c r="Q444" s="1"/>
      <c r="R444" s="1"/>
    </row>
    <row r="445" spans="1:18">
      <c r="A445" s="1"/>
      <c r="C445" s="241"/>
      <c r="D445" s="1"/>
      <c r="E445" s="300"/>
      <c r="F445" s="300"/>
      <c r="G445" s="1"/>
      <c r="H445" s="242"/>
      <c r="I445" s="242"/>
      <c r="J445" s="242"/>
      <c r="K445" s="9"/>
      <c r="L445" s="1"/>
      <c r="M445" s="1"/>
      <c r="N445" s="1"/>
      <c r="O445" s="1"/>
      <c r="P445" s="1"/>
      <c r="Q445" s="1"/>
      <c r="R445" s="1"/>
    </row>
    <row r="446" spans="1:18">
      <c r="A446" s="1"/>
      <c r="C446" s="241"/>
      <c r="D446" s="1"/>
      <c r="E446" s="300"/>
      <c r="F446" s="300"/>
      <c r="G446" s="1"/>
      <c r="H446" s="242"/>
      <c r="I446" s="242"/>
      <c r="J446" s="242"/>
      <c r="K446" s="9"/>
      <c r="L446" s="1"/>
      <c r="M446" s="1"/>
      <c r="N446" s="1"/>
      <c r="O446" s="1"/>
      <c r="P446" s="1"/>
      <c r="Q446" s="1"/>
      <c r="R446" s="1"/>
    </row>
    <row r="447" spans="1:18">
      <c r="A447" s="1"/>
      <c r="C447" s="241"/>
      <c r="D447" s="1"/>
      <c r="E447" s="300"/>
      <c r="F447" s="300"/>
      <c r="G447" s="1"/>
      <c r="H447" s="242"/>
      <c r="I447" s="242"/>
      <c r="J447" s="242"/>
      <c r="K447" s="9"/>
      <c r="L447" s="1"/>
      <c r="M447" s="1"/>
      <c r="N447" s="1"/>
      <c r="O447" s="1"/>
      <c r="P447" s="1"/>
      <c r="Q447" s="1"/>
      <c r="R447" s="1"/>
    </row>
    <row r="448" spans="1:18">
      <c r="A448" s="1"/>
      <c r="C448" s="241"/>
      <c r="D448" s="1"/>
      <c r="E448" s="300"/>
      <c r="F448" s="300"/>
      <c r="G448" s="1"/>
      <c r="H448" s="242"/>
      <c r="I448" s="242"/>
      <c r="J448" s="242"/>
      <c r="K448" s="9"/>
      <c r="L448" s="1"/>
      <c r="M448" s="1"/>
      <c r="N448" s="1"/>
      <c r="O448" s="1"/>
      <c r="P448" s="1"/>
      <c r="Q448" s="1"/>
      <c r="R448" s="1"/>
    </row>
    <row r="449" spans="1:18">
      <c r="A449" s="1"/>
      <c r="C449" s="241"/>
      <c r="D449" s="1"/>
      <c r="E449" s="300"/>
      <c r="F449" s="300"/>
      <c r="G449" s="1"/>
      <c r="H449" s="242"/>
      <c r="I449" s="242"/>
      <c r="J449" s="242"/>
      <c r="K449" s="9"/>
      <c r="L449" s="1"/>
      <c r="M449" s="1"/>
      <c r="N449" s="1"/>
      <c r="O449" s="1"/>
      <c r="P449" s="1"/>
      <c r="Q449" s="1"/>
      <c r="R449" s="1"/>
    </row>
    <row r="450" spans="1:18">
      <c r="A450" s="1"/>
      <c r="C450" s="241"/>
      <c r="D450" s="1"/>
      <c r="E450" s="300"/>
      <c r="F450" s="300"/>
      <c r="G450" s="1"/>
      <c r="H450" s="242"/>
      <c r="I450" s="242"/>
      <c r="J450" s="242"/>
      <c r="K450" s="9"/>
      <c r="L450" s="1"/>
      <c r="M450" s="1"/>
      <c r="N450" s="1"/>
      <c r="O450" s="1"/>
      <c r="P450" s="1"/>
      <c r="Q450" s="1"/>
      <c r="R450" s="1"/>
    </row>
    <row r="451" spans="1:18">
      <c r="A451" s="1"/>
      <c r="C451" s="241"/>
      <c r="D451" s="1"/>
      <c r="E451" s="300"/>
      <c r="F451" s="300"/>
      <c r="G451" s="1"/>
      <c r="H451" s="242"/>
      <c r="I451" s="242"/>
      <c r="J451" s="242"/>
      <c r="K451" s="9"/>
      <c r="L451" s="1"/>
      <c r="M451" s="1"/>
      <c r="N451" s="1"/>
      <c r="O451" s="1"/>
      <c r="P451" s="1"/>
      <c r="Q451" s="1"/>
      <c r="R451" s="1"/>
    </row>
    <row r="452" spans="1:18">
      <c r="A452" s="1"/>
      <c r="C452" s="241"/>
      <c r="D452" s="1"/>
      <c r="E452" s="300"/>
      <c r="F452" s="300"/>
      <c r="G452" s="1"/>
      <c r="H452" s="242"/>
      <c r="I452" s="242"/>
      <c r="J452" s="242"/>
      <c r="K452" s="9"/>
      <c r="L452" s="1"/>
      <c r="M452" s="1"/>
      <c r="N452" s="1"/>
      <c r="O452" s="1"/>
      <c r="P452" s="1"/>
      <c r="Q452" s="1"/>
      <c r="R452" s="1"/>
    </row>
    <row r="453" spans="1:18">
      <c r="A453" s="1"/>
      <c r="C453" s="241"/>
      <c r="D453" s="1"/>
      <c r="E453" s="300"/>
      <c r="F453" s="300"/>
      <c r="G453" s="1"/>
      <c r="H453" s="242"/>
      <c r="I453" s="242"/>
      <c r="J453" s="242"/>
      <c r="K453" s="9"/>
      <c r="L453" s="1"/>
      <c r="M453" s="1"/>
      <c r="N453" s="1"/>
      <c r="O453" s="1"/>
      <c r="P453" s="1"/>
      <c r="Q453" s="1"/>
      <c r="R453" s="1"/>
    </row>
    <row r="454" spans="1:18">
      <c r="A454" s="1"/>
      <c r="C454" s="241"/>
      <c r="D454" s="1"/>
      <c r="E454" s="300"/>
      <c r="F454" s="300"/>
      <c r="G454" s="1"/>
      <c r="H454" s="242"/>
      <c r="I454" s="242"/>
      <c r="J454" s="242"/>
      <c r="K454" s="9"/>
      <c r="L454" s="1"/>
      <c r="M454" s="1"/>
      <c r="N454" s="1"/>
      <c r="O454" s="1"/>
      <c r="P454" s="1"/>
      <c r="Q454" s="1"/>
      <c r="R454" s="1"/>
    </row>
    <row r="455" spans="1:18">
      <c r="A455" s="1"/>
      <c r="C455" s="241"/>
      <c r="D455" s="1"/>
      <c r="E455" s="300"/>
      <c r="F455" s="300"/>
      <c r="G455" s="1"/>
      <c r="H455" s="242"/>
      <c r="I455" s="242"/>
      <c r="J455" s="242"/>
      <c r="K455" s="9"/>
      <c r="L455" s="1"/>
      <c r="M455" s="1"/>
      <c r="N455" s="1"/>
      <c r="O455" s="1"/>
      <c r="P455" s="1"/>
      <c r="Q455" s="1"/>
      <c r="R455" s="1"/>
    </row>
    <row r="456" spans="1:18">
      <c r="A456" s="1"/>
      <c r="C456" s="241"/>
      <c r="D456" s="1"/>
      <c r="E456" s="300"/>
      <c r="F456" s="300"/>
      <c r="G456" s="1"/>
      <c r="H456" s="242"/>
      <c r="I456" s="242"/>
      <c r="J456" s="242"/>
      <c r="K456" s="9"/>
      <c r="L456" s="1"/>
      <c r="M456" s="1"/>
      <c r="N456" s="1"/>
      <c r="O456" s="1"/>
      <c r="P456" s="1"/>
      <c r="Q456" s="1"/>
      <c r="R456" s="1"/>
    </row>
    <row r="457" spans="1:18">
      <c r="A457" s="1"/>
      <c r="C457" s="241"/>
      <c r="D457" s="1"/>
      <c r="E457" s="300"/>
      <c r="F457" s="300"/>
      <c r="G457" s="1"/>
      <c r="H457" s="242"/>
      <c r="I457" s="242"/>
      <c r="J457" s="242"/>
      <c r="K457" s="9"/>
      <c r="L457" s="1"/>
      <c r="M457" s="1"/>
      <c r="N457" s="1"/>
      <c r="O457" s="1"/>
      <c r="P457" s="1"/>
      <c r="Q457" s="1"/>
      <c r="R457" s="1"/>
    </row>
    <row r="458" spans="1:18">
      <c r="A458" s="1"/>
      <c r="C458" s="241"/>
      <c r="D458" s="1"/>
      <c r="E458" s="300"/>
      <c r="F458" s="300"/>
      <c r="G458" s="1"/>
      <c r="H458" s="242"/>
      <c r="I458" s="242"/>
      <c r="J458" s="242"/>
      <c r="K458" s="9"/>
      <c r="L458" s="1"/>
      <c r="M458" s="1"/>
      <c r="N458" s="1"/>
      <c r="O458" s="1"/>
      <c r="P458" s="1"/>
      <c r="Q458" s="1"/>
      <c r="R458" s="1"/>
    </row>
    <row r="459" spans="1:18">
      <c r="A459" s="1"/>
      <c r="C459" s="241"/>
      <c r="D459" s="1"/>
      <c r="E459" s="300"/>
      <c r="F459" s="300"/>
      <c r="G459" s="1"/>
      <c r="H459" s="242"/>
      <c r="I459" s="242"/>
      <c r="J459" s="242"/>
      <c r="K459" s="9"/>
      <c r="L459" s="1"/>
      <c r="M459" s="1"/>
      <c r="N459" s="1"/>
      <c r="O459" s="1"/>
      <c r="P459" s="1"/>
      <c r="Q459" s="1"/>
      <c r="R459" s="1"/>
    </row>
    <row r="460" spans="1:18">
      <c r="A460" s="1"/>
      <c r="C460" s="241"/>
      <c r="D460" s="1"/>
      <c r="E460" s="300"/>
      <c r="F460" s="300"/>
      <c r="G460" s="1"/>
      <c r="H460" s="242"/>
      <c r="I460" s="242"/>
      <c r="J460" s="242"/>
      <c r="K460" s="9"/>
      <c r="L460" s="1"/>
      <c r="M460" s="1"/>
      <c r="N460" s="1"/>
      <c r="O460" s="1"/>
      <c r="P460" s="1"/>
      <c r="Q460" s="1"/>
      <c r="R460" s="1"/>
    </row>
    <row r="461" spans="1:18">
      <c r="A461" s="1"/>
      <c r="C461" s="241"/>
      <c r="D461" s="1"/>
      <c r="E461" s="300"/>
      <c r="F461" s="300"/>
      <c r="G461" s="1"/>
      <c r="H461" s="242"/>
      <c r="I461" s="242"/>
      <c r="J461" s="242"/>
      <c r="K461" s="9"/>
      <c r="L461" s="1"/>
      <c r="M461" s="1"/>
      <c r="N461" s="1"/>
      <c r="O461" s="1"/>
      <c r="P461" s="1"/>
      <c r="Q461" s="1"/>
      <c r="R461" s="1"/>
    </row>
    <row r="462" spans="1:18">
      <c r="A462" s="1"/>
      <c r="C462" s="241"/>
      <c r="D462" s="1"/>
      <c r="E462" s="300"/>
      <c r="F462" s="300"/>
      <c r="G462" s="1"/>
      <c r="H462" s="242"/>
      <c r="I462" s="242"/>
      <c r="J462" s="242"/>
      <c r="K462" s="9"/>
      <c r="L462" s="1"/>
      <c r="M462" s="1"/>
      <c r="N462" s="1"/>
      <c r="O462" s="1"/>
      <c r="P462" s="1"/>
      <c r="Q462" s="1"/>
      <c r="R462" s="1"/>
    </row>
    <row r="463" spans="1:18">
      <c r="A463" s="1"/>
      <c r="C463" s="241"/>
      <c r="D463" s="1"/>
      <c r="E463" s="300"/>
      <c r="F463" s="300"/>
      <c r="G463" s="1"/>
      <c r="H463" s="242"/>
      <c r="I463" s="242"/>
      <c r="J463" s="242"/>
      <c r="K463" s="9"/>
      <c r="L463" s="1"/>
      <c r="M463" s="1"/>
      <c r="N463" s="1"/>
      <c r="O463" s="1"/>
      <c r="P463" s="1"/>
      <c r="Q463" s="1"/>
      <c r="R463" s="1"/>
    </row>
    <row r="464" spans="1:18">
      <c r="A464" s="1"/>
      <c r="C464" s="241"/>
      <c r="D464" s="1"/>
      <c r="E464" s="300"/>
      <c r="F464" s="300"/>
      <c r="G464" s="1"/>
      <c r="H464" s="242"/>
      <c r="I464" s="242"/>
      <c r="J464" s="242"/>
      <c r="K464" s="9"/>
      <c r="L464" s="1"/>
      <c r="M464" s="1"/>
      <c r="N464" s="1"/>
      <c r="O464" s="1"/>
      <c r="P464" s="1"/>
      <c r="Q464" s="1"/>
      <c r="R464" s="1"/>
    </row>
    <row r="465" spans="1:18">
      <c r="A465" s="1"/>
      <c r="C465" s="241"/>
      <c r="D465" s="1"/>
      <c r="E465" s="300"/>
      <c r="F465" s="300"/>
      <c r="G465" s="1"/>
      <c r="H465" s="242"/>
      <c r="I465" s="242"/>
      <c r="J465" s="242"/>
      <c r="K465" s="9"/>
      <c r="L465" s="1"/>
      <c r="M465" s="1"/>
      <c r="N465" s="1"/>
      <c r="O465" s="1"/>
      <c r="P465" s="1"/>
      <c r="Q465" s="1"/>
      <c r="R465" s="1"/>
    </row>
    <row r="466" spans="1:18">
      <c r="A466" s="1"/>
      <c r="C466" s="241"/>
      <c r="D466" s="1"/>
      <c r="E466" s="300"/>
      <c r="F466" s="300"/>
      <c r="G466" s="1"/>
      <c r="H466" s="242"/>
      <c r="I466" s="242"/>
      <c r="J466" s="242"/>
      <c r="K466" s="9"/>
      <c r="L466" s="1"/>
      <c r="M466" s="1"/>
      <c r="N466" s="1"/>
      <c r="O466" s="1"/>
      <c r="P466" s="1"/>
      <c r="Q466" s="1"/>
      <c r="R466" s="1"/>
    </row>
    <row r="467" spans="1:18">
      <c r="A467" s="1"/>
      <c r="C467" s="241"/>
      <c r="D467" s="1"/>
      <c r="E467" s="300"/>
      <c r="F467" s="300"/>
      <c r="G467" s="1"/>
      <c r="H467" s="242"/>
      <c r="I467" s="242"/>
      <c r="J467" s="242"/>
      <c r="K467" s="9"/>
      <c r="L467" s="1"/>
      <c r="M467" s="1"/>
      <c r="N467" s="1"/>
      <c r="O467" s="1"/>
      <c r="P467" s="1"/>
      <c r="Q467" s="1"/>
      <c r="R467" s="1"/>
    </row>
    <row r="468" spans="1:18">
      <c r="A468" s="1"/>
      <c r="C468" s="241"/>
      <c r="D468" s="1"/>
      <c r="E468" s="300"/>
      <c r="F468" s="300"/>
      <c r="G468" s="1"/>
      <c r="H468" s="242"/>
      <c r="I468" s="242"/>
      <c r="J468" s="242"/>
      <c r="K468" s="9"/>
      <c r="L468" s="1"/>
      <c r="M468" s="1"/>
      <c r="N468" s="1"/>
      <c r="O468" s="1"/>
      <c r="P468" s="1"/>
      <c r="Q468" s="1"/>
      <c r="R468" s="1"/>
    </row>
    <row r="469" spans="1:18">
      <c r="A469" s="1"/>
      <c r="C469" s="241"/>
      <c r="D469" s="1"/>
      <c r="E469" s="300"/>
      <c r="F469" s="300"/>
      <c r="G469" s="1"/>
      <c r="H469" s="242"/>
      <c r="I469" s="242"/>
      <c r="J469" s="242"/>
      <c r="K469" s="9"/>
      <c r="L469" s="1"/>
      <c r="M469" s="1"/>
      <c r="N469" s="1"/>
      <c r="O469" s="1"/>
      <c r="P469" s="1"/>
      <c r="Q469" s="1"/>
      <c r="R469" s="1"/>
    </row>
    <row r="470" spans="1:18">
      <c r="A470" s="1"/>
      <c r="C470" s="241"/>
      <c r="D470" s="1"/>
      <c r="E470" s="300"/>
      <c r="F470" s="300"/>
      <c r="G470" s="1"/>
      <c r="H470" s="242"/>
      <c r="I470" s="242"/>
      <c r="J470" s="242"/>
      <c r="K470" s="9"/>
      <c r="L470" s="1"/>
      <c r="M470" s="1"/>
      <c r="N470" s="1"/>
      <c r="O470" s="1"/>
      <c r="P470" s="1"/>
      <c r="Q470" s="1"/>
      <c r="R470" s="1"/>
    </row>
    <row r="471" spans="1:18">
      <c r="A471" s="1"/>
      <c r="C471" s="241"/>
      <c r="D471" s="1"/>
      <c r="E471" s="300"/>
      <c r="F471" s="300"/>
      <c r="G471" s="1"/>
      <c r="H471" s="242"/>
      <c r="I471" s="242"/>
      <c r="J471" s="242"/>
      <c r="K471" s="9"/>
      <c r="L471" s="1"/>
      <c r="M471" s="1"/>
      <c r="N471" s="1"/>
      <c r="O471" s="1"/>
      <c r="P471" s="1"/>
      <c r="Q471" s="1"/>
      <c r="R471" s="1"/>
    </row>
    <row r="472" spans="1:18">
      <c r="A472" s="1"/>
      <c r="C472" s="241"/>
      <c r="D472" s="1"/>
      <c r="E472" s="300"/>
      <c r="F472" s="300"/>
      <c r="G472" s="1"/>
      <c r="H472" s="242"/>
      <c r="I472" s="242"/>
      <c r="J472" s="242"/>
      <c r="K472" s="9"/>
      <c r="L472" s="1"/>
      <c r="M472" s="1"/>
      <c r="N472" s="1"/>
      <c r="O472" s="1"/>
      <c r="P472" s="1"/>
      <c r="Q472" s="1"/>
      <c r="R472" s="1"/>
    </row>
    <row r="473" spans="1:18">
      <c r="A473" s="1"/>
      <c r="C473" s="241"/>
      <c r="D473" s="1"/>
      <c r="E473" s="300"/>
      <c r="F473" s="300"/>
      <c r="G473" s="1"/>
      <c r="H473" s="242"/>
      <c r="I473" s="242"/>
      <c r="J473" s="242"/>
      <c r="K473" s="9"/>
      <c r="L473" s="1"/>
      <c r="M473" s="1"/>
      <c r="N473" s="1"/>
      <c r="O473" s="1"/>
      <c r="P473" s="1"/>
      <c r="Q473" s="1"/>
      <c r="R473" s="1"/>
    </row>
    <row r="474" spans="1:18">
      <c r="A474" s="1"/>
      <c r="C474" s="241"/>
      <c r="D474" s="1"/>
      <c r="E474" s="300"/>
      <c r="F474" s="300"/>
      <c r="G474" s="1"/>
      <c r="H474" s="242"/>
      <c r="I474" s="242"/>
      <c r="J474" s="242"/>
      <c r="K474" s="9"/>
      <c r="L474" s="1"/>
      <c r="M474" s="1"/>
      <c r="N474" s="1"/>
      <c r="O474" s="1"/>
      <c r="P474" s="1"/>
      <c r="Q474" s="1"/>
      <c r="R474" s="1"/>
    </row>
    <row r="475" spans="1:18">
      <c r="A475" s="1"/>
      <c r="C475" s="241"/>
      <c r="D475" s="1"/>
      <c r="E475" s="300"/>
      <c r="F475" s="300"/>
      <c r="G475" s="1"/>
      <c r="H475" s="242"/>
      <c r="I475" s="242"/>
      <c r="J475" s="242"/>
      <c r="K475" s="9"/>
      <c r="L475" s="1"/>
      <c r="M475" s="1"/>
      <c r="N475" s="1"/>
      <c r="O475" s="1"/>
      <c r="P475" s="1"/>
      <c r="Q475" s="1"/>
      <c r="R475" s="1"/>
    </row>
    <row r="476" spans="1:18">
      <c r="A476" s="1"/>
      <c r="C476" s="241"/>
      <c r="D476" s="1"/>
      <c r="E476" s="300"/>
      <c r="F476" s="300"/>
      <c r="G476" s="1"/>
      <c r="H476" s="242"/>
      <c r="I476" s="242"/>
      <c r="J476" s="242"/>
      <c r="K476" s="9"/>
      <c r="L476" s="1"/>
      <c r="M476" s="1"/>
      <c r="N476" s="1"/>
      <c r="O476" s="1"/>
      <c r="P476" s="1"/>
      <c r="Q476" s="1"/>
      <c r="R476" s="1"/>
    </row>
    <row r="477" spans="1:18">
      <c r="A477" s="1"/>
      <c r="C477" s="241"/>
      <c r="D477" s="1"/>
      <c r="E477" s="300"/>
      <c r="F477" s="300"/>
      <c r="G477" s="1"/>
      <c r="H477" s="242"/>
      <c r="I477" s="242"/>
      <c r="J477" s="242"/>
      <c r="K477" s="9"/>
      <c r="L477" s="1"/>
      <c r="M477" s="1"/>
      <c r="N477" s="1"/>
      <c r="O477" s="1"/>
      <c r="P477" s="1"/>
      <c r="Q477" s="1"/>
      <c r="R477" s="1"/>
    </row>
    <row r="478" spans="1:18">
      <c r="A478" s="1"/>
      <c r="C478" s="241"/>
      <c r="D478" s="1"/>
      <c r="E478" s="300"/>
      <c r="F478" s="300"/>
      <c r="G478" s="1"/>
      <c r="H478" s="242"/>
      <c r="I478" s="242"/>
      <c r="J478" s="242"/>
      <c r="K478" s="9"/>
      <c r="L478" s="1"/>
      <c r="M478" s="1"/>
      <c r="N478" s="1"/>
      <c r="O478" s="1"/>
      <c r="P478" s="1"/>
      <c r="Q478" s="1"/>
      <c r="R478" s="1"/>
    </row>
    <row r="479" spans="1:18">
      <c r="A479" s="1"/>
      <c r="C479" s="241"/>
      <c r="D479" s="1"/>
      <c r="E479" s="300"/>
      <c r="F479" s="300"/>
      <c r="G479" s="1"/>
      <c r="H479" s="242"/>
      <c r="I479" s="242"/>
      <c r="J479" s="242"/>
      <c r="K479" s="9"/>
      <c r="L479" s="1"/>
      <c r="M479" s="1"/>
      <c r="N479" s="1"/>
      <c r="O479" s="1"/>
      <c r="P479" s="1"/>
      <c r="Q479" s="1"/>
      <c r="R479" s="1"/>
    </row>
    <row r="480" spans="1:18">
      <c r="A480" s="1"/>
      <c r="C480" s="241"/>
      <c r="D480" s="1"/>
      <c r="E480" s="300"/>
      <c r="F480" s="300"/>
      <c r="G480" s="1"/>
      <c r="H480" s="242"/>
      <c r="I480" s="242"/>
      <c r="J480" s="242"/>
      <c r="K480" s="9"/>
      <c r="L480" s="1"/>
      <c r="M480" s="1"/>
      <c r="N480" s="1"/>
      <c r="O480" s="1"/>
      <c r="P480" s="1"/>
      <c r="Q480" s="1"/>
      <c r="R480" s="1"/>
    </row>
    <row r="481" spans="1:18">
      <c r="A481" s="1"/>
      <c r="C481" s="241"/>
      <c r="D481" s="1"/>
      <c r="E481" s="300"/>
      <c r="F481" s="300"/>
      <c r="G481" s="1"/>
      <c r="H481" s="242"/>
      <c r="I481" s="242"/>
      <c r="J481" s="242"/>
      <c r="K481" s="9"/>
      <c r="L481" s="1"/>
      <c r="M481" s="1"/>
      <c r="N481" s="1"/>
      <c r="O481" s="1"/>
      <c r="P481" s="1"/>
      <c r="Q481" s="1"/>
      <c r="R481" s="1"/>
    </row>
    <row r="482" spans="1:18">
      <c r="A482" s="1"/>
      <c r="C482" s="241"/>
      <c r="D482" s="1"/>
      <c r="E482" s="300"/>
      <c r="F482" s="300"/>
      <c r="G482" s="1"/>
      <c r="H482" s="242"/>
      <c r="I482" s="242"/>
      <c r="J482" s="242"/>
      <c r="K482" s="9"/>
      <c r="L482" s="1"/>
      <c r="M482" s="1"/>
      <c r="N482" s="1"/>
      <c r="O482" s="1"/>
      <c r="P482" s="1"/>
      <c r="Q482" s="1"/>
      <c r="R482" s="1"/>
    </row>
    <row r="483" spans="1:18">
      <c r="A483" s="1"/>
      <c r="C483" s="241"/>
      <c r="D483" s="1"/>
      <c r="E483" s="300"/>
      <c r="F483" s="300"/>
      <c r="G483" s="1"/>
      <c r="H483" s="242"/>
      <c r="I483" s="242"/>
      <c r="J483" s="242"/>
      <c r="K483" s="9"/>
      <c r="L483" s="1"/>
      <c r="M483" s="1"/>
      <c r="N483" s="1"/>
      <c r="O483" s="1"/>
      <c r="P483" s="1"/>
      <c r="Q483" s="1"/>
      <c r="R483" s="1"/>
    </row>
    <row r="484" spans="1:18">
      <c r="A484" s="1"/>
      <c r="C484" s="241"/>
      <c r="D484" s="1"/>
      <c r="E484" s="300"/>
      <c r="F484" s="300"/>
      <c r="G484" s="1"/>
      <c r="H484" s="242"/>
      <c r="I484" s="242"/>
      <c r="J484" s="242"/>
      <c r="K484" s="9"/>
      <c r="L484" s="1"/>
      <c r="M484" s="1"/>
      <c r="N484" s="1"/>
      <c r="O484" s="1"/>
      <c r="P484" s="1"/>
      <c r="Q484" s="1"/>
      <c r="R484" s="1"/>
    </row>
    <row r="485" spans="1:18">
      <c r="A485" s="1"/>
      <c r="C485" s="241"/>
      <c r="D485" s="1"/>
      <c r="E485" s="300"/>
      <c r="F485" s="300"/>
      <c r="G485" s="1"/>
      <c r="H485" s="242"/>
      <c r="I485" s="242"/>
      <c r="J485" s="242"/>
      <c r="K485" s="9"/>
      <c r="L485" s="1"/>
      <c r="M485" s="1"/>
      <c r="N485" s="1"/>
      <c r="O485" s="1"/>
      <c r="P485" s="1"/>
      <c r="Q485" s="1"/>
      <c r="R485" s="1"/>
    </row>
    <row r="486" spans="1:18">
      <c r="A486" s="1"/>
      <c r="C486" s="241"/>
      <c r="D486" s="1"/>
      <c r="E486" s="300"/>
      <c r="F486" s="300"/>
      <c r="G486" s="1"/>
      <c r="H486" s="242"/>
      <c r="I486" s="242"/>
      <c r="J486" s="242"/>
      <c r="K486" s="9"/>
      <c r="L486" s="1"/>
      <c r="M486" s="1"/>
      <c r="N486" s="1"/>
      <c r="O486" s="1"/>
      <c r="P486" s="1"/>
      <c r="Q486" s="1"/>
      <c r="R486" s="1"/>
    </row>
    <row r="487" spans="1:18">
      <c r="A487" s="1"/>
      <c r="C487" s="241"/>
      <c r="D487" s="1"/>
      <c r="E487" s="300"/>
      <c r="F487" s="300"/>
      <c r="G487" s="1"/>
      <c r="H487" s="242"/>
      <c r="I487" s="242"/>
      <c r="J487" s="242"/>
      <c r="K487" s="9"/>
      <c r="L487" s="1"/>
      <c r="M487" s="1"/>
      <c r="N487" s="1"/>
      <c r="O487" s="1"/>
      <c r="P487" s="1"/>
      <c r="Q487" s="1"/>
      <c r="R487" s="1"/>
    </row>
    <row r="488" spans="1:18">
      <c r="A488" s="1"/>
      <c r="C488" s="241"/>
      <c r="D488" s="1"/>
      <c r="E488" s="300"/>
      <c r="F488" s="300"/>
      <c r="G488" s="1"/>
      <c r="H488" s="242"/>
      <c r="I488" s="242"/>
      <c r="J488" s="242"/>
      <c r="K488" s="9"/>
      <c r="L488" s="1"/>
      <c r="M488" s="1"/>
      <c r="N488" s="1"/>
      <c r="O488" s="1"/>
      <c r="P488" s="1"/>
      <c r="Q488" s="1"/>
      <c r="R488" s="1"/>
    </row>
    <row r="489" spans="1:18">
      <c r="A489" s="1"/>
      <c r="C489" s="241"/>
      <c r="D489" s="1"/>
      <c r="E489" s="300"/>
      <c r="F489" s="300"/>
      <c r="G489" s="1"/>
      <c r="H489" s="242"/>
      <c r="I489" s="242"/>
      <c r="J489" s="242"/>
      <c r="K489" s="9"/>
      <c r="L489" s="1"/>
      <c r="M489" s="1"/>
      <c r="N489" s="1"/>
      <c r="O489" s="1"/>
      <c r="P489" s="1"/>
      <c r="Q489" s="1"/>
      <c r="R489" s="1"/>
    </row>
    <row r="490" spans="1:18">
      <c r="A490" s="1"/>
      <c r="C490" s="241"/>
      <c r="D490" s="1"/>
      <c r="E490" s="300"/>
      <c r="F490" s="300"/>
      <c r="G490" s="1"/>
      <c r="H490" s="242"/>
      <c r="I490" s="242"/>
      <c r="J490" s="242"/>
      <c r="K490" s="9"/>
      <c r="L490" s="1"/>
      <c r="M490" s="1"/>
      <c r="N490" s="1"/>
      <c r="O490" s="1"/>
      <c r="P490" s="1"/>
      <c r="Q490" s="1"/>
      <c r="R490" s="1"/>
    </row>
    <row r="491" spans="1:18">
      <c r="A491" s="1"/>
      <c r="C491" s="241"/>
      <c r="D491" s="1"/>
      <c r="E491" s="300"/>
      <c r="F491" s="300"/>
      <c r="G491" s="1"/>
      <c r="H491" s="242"/>
      <c r="I491" s="242"/>
      <c r="J491" s="242"/>
      <c r="K491" s="9"/>
      <c r="L491" s="1"/>
      <c r="M491" s="1"/>
      <c r="N491" s="1"/>
      <c r="O491" s="1"/>
      <c r="P491" s="1"/>
      <c r="Q491" s="1"/>
      <c r="R491" s="1"/>
    </row>
    <row r="492" spans="1:18">
      <c r="A492" s="1"/>
      <c r="C492" s="241"/>
      <c r="D492" s="1"/>
      <c r="E492" s="300"/>
      <c r="F492" s="300"/>
      <c r="G492" s="1"/>
      <c r="H492" s="242"/>
      <c r="I492" s="242"/>
      <c r="J492" s="242"/>
      <c r="K492" s="9"/>
      <c r="L492" s="1"/>
      <c r="M492" s="1"/>
      <c r="N492" s="1"/>
      <c r="O492" s="1"/>
      <c r="P492" s="1"/>
      <c r="Q492" s="1"/>
      <c r="R492" s="1"/>
    </row>
    <row r="493" spans="1:18">
      <c r="A493" s="1"/>
      <c r="C493" s="241"/>
      <c r="D493" s="1"/>
      <c r="E493" s="300"/>
      <c r="F493" s="300"/>
      <c r="G493" s="1"/>
      <c r="H493" s="242"/>
      <c r="I493" s="242"/>
      <c r="J493" s="242"/>
      <c r="K493" s="9"/>
      <c r="L493" s="1"/>
      <c r="M493" s="1"/>
      <c r="N493" s="1"/>
      <c r="O493" s="1"/>
      <c r="P493" s="1"/>
      <c r="Q493" s="1"/>
      <c r="R493" s="1"/>
    </row>
    <row r="494" spans="1:18">
      <c r="A494" s="1"/>
      <c r="C494" s="241"/>
      <c r="D494" s="1"/>
      <c r="E494" s="300"/>
      <c r="F494" s="300"/>
      <c r="G494" s="1"/>
      <c r="H494" s="242"/>
      <c r="I494" s="242"/>
      <c r="J494" s="242"/>
      <c r="K494" s="9"/>
      <c r="L494" s="1"/>
      <c r="M494" s="1"/>
      <c r="N494" s="1"/>
      <c r="O494" s="1"/>
      <c r="P494" s="1"/>
      <c r="Q494" s="1"/>
      <c r="R494" s="1"/>
    </row>
    <row r="495" spans="1:18">
      <c r="A495" s="1"/>
      <c r="C495" s="241"/>
      <c r="D495" s="1"/>
      <c r="E495" s="300"/>
      <c r="F495" s="300"/>
      <c r="G495" s="1"/>
      <c r="H495" s="242"/>
      <c r="I495" s="242"/>
      <c r="J495" s="242"/>
      <c r="K495" s="9"/>
      <c r="L495" s="1"/>
      <c r="M495" s="1"/>
      <c r="N495" s="1"/>
      <c r="O495" s="1"/>
      <c r="P495" s="1"/>
      <c r="Q495" s="1"/>
      <c r="R495" s="1"/>
    </row>
    <row r="496" spans="1:18">
      <c r="A496" s="1"/>
      <c r="C496" s="241"/>
      <c r="D496" s="1"/>
      <c r="E496" s="300"/>
      <c r="F496" s="300"/>
      <c r="G496" s="1"/>
      <c r="H496" s="242"/>
      <c r="I496" s="242"/>
      <c r="J496" s="242"/>
      <c r="K496" s="9"/>
      <c r="L496" s="1"/>
      <c r="M496" s="1"/>
      <c r="N496" s="1"/>
      <c r="O496" s="1"/>
      <c r="P496" s="1"/>
      <c r="Q496" s="1"/>
      <c r="R496" s="1"/>
    </row>
    <row r="497" spans="1:18">
      <c r="A497" s="1"/>
      <c r="C497" s="241"/>
      <c r="D497" s="1"/>
      <c r="E497" s="300"/>
      <c r="F497" s="300"/>
      <c r="G497" s="1"/>
      <c r="H497" s="242"/>
      <c r="I497" s="242"/>
      <c r="J497" s="242"/>
      <c r="K497" s="9"/>
      <c r="L497" s="1"/>
      <c r="M497" s="1"/>
      <c r="N497" s="1"/>
      <c r="O497" s="1"/>
      <c r="P497" s="1"/>
      <c r="Q497" s="1"/>
      <c r="R497" s="1"/>
    </row>
    <row r="498" spans="1:18">
      <c r="A498" s="1"/>
      <c r="C498" s="241"/>
      <c r="D498" s="1"/>
      <c r="E498" s="300"/>
      <c r="F498" s="300"/>
      <c r="G498" s="1"/>
      <c r="H498" s="242"/>
      <c r="I498" s="242"/>
      <c r="J498" s="242"/>
      <c r="K498" s="9"/>
      <c r="L498" s="1"/>
      <c r="M498" s="1"/>
      <c r="N498" s="1"/>
      <c r="O498" s="1"/>
      <c r="P498" s="1"/>
      <c r="Q498" s="1"/>
      <c r="R498" s="1"/>
    </row>
    <row r="499" spans="1:18">
      <c r="A499" s="1"/>
      <c r="C499" s="241"/>
      <c r="D499" s="1"/>
      <c r="E499" s="300"/>
      <c r="F499" s="300"/>
      <c r="G499" s="1"/>
      <c r="H499" s="242"/>
      <c r="I499" s="242"/>
      <c r="J499" s="242"/>
      <c r="K499" s="9"/>
      <c r="L499" s="1"/>
      <c r="M499" s="1"/>
      <c r="N499" s="1"/>
      <c r="O499" s="1"/>
      <c r="P499" s="1"/>
      <c r="Q499" s="1"/>
      <c r="R499" s="1"/>
    </row>
    <row r="500" spans="1:18">
      <c r="A500" s="1"/>
      <c r="C500" s="241"/>
      <c r="D500" s="1"/>
      <c r="E500" s="300"/>
      <c r="F500" s="300"/>
      <c r="G500" s="1"/>
      <c r="H500" s="242"/>
      <c r="I500" s="242"/>
      <c r="J500" s="242"/>
      <c r="K500" s="9"/>
      <c r="L500" s="1"/>
      <c r="M500" s="1"/>
      <c r="N500" s="1"/>
      <c r="O500" s="1"/>
      <c r="P500" s="1"/>
      <c r="Q500" s="1"/>
      <c r="R500" s="1"/>
    </row>
    <row r="501" spans="1:18">
      <c r="A501" s="1"/>
      <c r="C501" s="241"/>
      <c r="D501" s="1"/>
      <c r="E501" s="300"/>
      <c r="F501" s="300"/>
      <c r="G501" s="1"/>
      <c r="H501" s="242"/>
      <c r="I501" s="242"/>
      <c r="J501" s="242"/>
      <c r="K501" s="9"/>
      <c r="L501" s="1"/>
      <c r="M501" s="1"/>
      <c r="N501" s="1"/>
      <c r="O501" s="1"/>
      <c r="P501" s="1"/>
      <c r="Q501" s="1"/>
      <c r="R501" s="1"/>
    </row>
    <row r="502" spans="1:18">
      <c r="A502" s="1"/>
      <c r="C502" s="241"/>
      <c r="D502" s="1"/>
      <c r="E502" s="300"/>
      <c r="F502" s="300"/>
      <c r="G502" s="1"/>
      <c r="H502" s="242"/>
      <c r="I502" s="242"/>
      <c r="J502" s="242"/>
      <c r="K502" s="9"/>
      <c r="L502" s="1"/>
      <c r="M502" s="1"/>
      <c r="N502" s="1"/>
      <c r="O502" s="1"/>
      <c r="P502" s="1"/>
      <c r="Q502" s="1"/>
      <c r="R502" s="1"/>
    </row>
    <row r="503" spans="1:18">
      <c r="A503" s="1"/>
      <c r="C503" s="241"/>
      <c r="D503" s="1"/>
      <c r="E503" s="300"/>
      <c r="F503" s="300"/>
      <c r="G503" s="1"/>
      <c r="H503" s="242"/>
      <c r="I503" s="242"/>
      <c r="J503" s="242"/>
      <c r="K503" s="9"/>
      <c r="L503" s="1"/>
      <c r="M503" s="1"/>
      <c r="N503" s="1"/>
      <c r="O503" s="1"/>
      <c r="P503" s="1"/>
      <c r="Q503" s="1"/>
      <c r="R503" s="1"/>
    </row>
    <row r="504" spans="1:18">
      <c r="A504" s="1"/>
      <c r="C504" s="241"/>
      <c r="D504" s="1"/>
      <c r="E504" s="300"/>
      <c r="F504" s="300"/>
      <c r="G504" s="1"/>
      <c r="H504" s="242"/>
      <c r="I504" s="242"/>
      <c r="J504" s="242"/>
      <c r="K504" s="9"/>
      <c r="L504" s="1"/>
      <c r="M504" s="1"/>
      <c r="N504" s="1"/>
      <c r="O504" s="1"/>
      <c r="P504" s="1"/>
      <c r="Q504" s="1"/>
      <c r="R504" s="1"/>
    </row>
    <row r="505" spans="1:18">
      <c r="A505" s="1"/>
      <c r="C505" s="241"/>
      <c r="D505" s="1"/>
      <c r="E505" s="300"/>
      <c r="F505" s="300"/>
      <c r="G505" s="1"/>
      <c r="H505" s="242"/>
      <c r="I505" s="242"/>
      <c r="J505" s="242"/>
      <c r="K505" s="9"/>
      <c r="L505" s="1"/>
      <c r="M505" s="1"/>
      <c r="N505" s="1"/>
      <c r="O505" s="1"/>
      <c r="P505" s="1"/>
      <c r="Q505" s="1"/>
      <c r="R505" s="1"/>
    </row>
    <row r="506" spans="1:18">
      <c r="A506" s="1"/>
      <c r="C506" s="241"/>
      <c r="D506" s="1"/>
      <c r="E506" s="300"/>
      <c r="F506" s="300"/>
      <c r="G506" s="1"/>
      <c r="H506" s="242"/>
      <c r="I506" s="242"/>
      <c r="J506" s="242"/>
      <c r="K506" s="9"/>
      <c r="L506" s="1"/>
      <c r="M506" s="1"/>
      <c r="N506" s="1"/>
      <c r="O506" s="1"/>
      <c r="P506" s="1"/>
      <c r="Q506" s="1"/>
      <c r="R506" s="1"/>
    </row>
    <row r="507" spans="1:18">
      <c r="A507" s="1"/>
      <c r="C507" s="241"/>
      <c r="D507" s="1"/>
      <c r="E507" s="300"/>
      <c r="F507" s="300"/>
      <c r="G507" s="1"/>
      <c r="H507" s="242"/>
      <c r="I507" s="242"/>
      <c r="J507" s="242"/>
      <c r="K507" s="9"/>
      <c r="L507" s="1"/>
      <c r="M507" s="1"/>
      <c r="N507" s="1"/>
      <c r="O507" s="1"/>
      <c r="P507" s="1"/>
      <c r="Q507" s="1"/>
      <c r="R507" s="1"/>
    </row>
    <row r="508" spans="1:18">
      <c r="A508" s="1"/>
      <c r="C508" s="241"/>
      <c r="D508" s="1"/>
      <c r="E508" s="300"/>
      <c r="F508" s="300"/>
      <c r="G508" s="1"/>
      <c r="H508" s="242"/>
      <c r="I508" s="242"/>
      <c r="J508" s="242"/>
      <c r="K508" s="9"/>
      <c r="L508" s="1"/>
      <c r="M508" s="1"/>
      <c r="N508" s="1"/>
      <c r="O508" s="1"/>
      <c r="P508" s="1"/>
      <c r="Q508" s="1"/>
      <c r="R508" s="1"/>
    </row>
    <row r="509" spans="1:18">
      <c r="A509" s="1"/>
      <c r="C509" s="241"/>
      <c r="D509" s="1"/>
      <c r="E509" s="300"/>
      <c r="F509" s="300"/>
      <c r="G509" s="1"/>
      <c r="H509" s="242"/>
      <c r="I509" s="242"/>
      <c r="J509" s="242"/>
      <c r="K509" s="9"/>
      <c r="L509" s="1"/>
      <c r="M509" s="1"/>
      <c r="N509" s="1"/>
      <c r="O509" s="1"/>
      <c r="P509" s="1"/>
      <c r="Q509" s="1"/>
      <c r="R509" s="1"/>
    </row>
    <row r="510" spans="1:18">
      <c r="A510" s="1"/>
      <c r="C510" s="241"/>
      <c r="D510" s="1"/>
      <c r="E510" s="300"/>
      <c r="F510" s="300"/>
      <c r="G510" s="1"/>
      <c r="H510" s="242"/>
      <c r="I510" s="242"/>
      <c r="J510" s="242"/>
      <c r="K510" s="9"/>
      <c r="L510" s="1"/>
      <c r="M510" s="1"/>
      <c r="N510" s="1"/>
      <c r="O510" s="1"/>
      <c r="P510" s="1"/>
      <c r="Q510" s="1"/>
      <c r="R510" s="1"/>
    </row>
    <row r="511" spans="1:18">
      <c r="A511" s="1"/>
      <c r="C511" s="241"/>
      <c r="D511" s="1"/>
      <c r="E511" s="300"/>
      <c r="F511" s="300"/>
      <c r="G511" s="1"/>
      <c r="H511" s="242"/>
      <c r="I511" s="242"/>
      <c r="J511" s="242"/>
      <c r="K511" s="9"/>
      <c r="L511" s="1"/>
      <c r="M511" s="1"/>
      <c r="N511" s="1"/>
      <c r="O511" s="1"/>
      <c r="P511" s="1"/>
      <c r="Q511" s="1"/>
      <c r="R511" s="1"/>
    </row>
    <row r="512" spans="1:18">
      <c r="A512" s="1"/>
      <c r="C512" s="241"/>
      <c r="D512" s="1"/>
      <c r="E512" s="300"/>
      <c r="F512" s="300"/>
      <c r="G512" s="1"/>
      <c r="H512" s="242"/>
      <c r="I512" s="242"/>
      <c r="J512" s="242"/>
      <c r="K512" s="9"/>
      <c r="L512" s="1"/>
      <c r="M512" s="1"/>
      <c r="N512" s="1"/>
      <c r="O512" s="1"/>
      <c r="P512" s="1"/>
      <c r="Q512" s="1"/>
      <c r="R512" s="1"/>
    </row>
    <row r="513" spans="1:18">
      <c r="A513" s="1"/>
      <c r="C513" s="241"/>
      <c r="D513" s="1"/>
      <c r="E513" s="300"/>
      <c r="F513" s="300"/>
      <c r="G513" s="1"/>
      <c r="H513" s="242"/>
      <c r="I513" s="242"/>
      <c r="J513" s="242"/>
      <c r="K513" s="9"/>
      <c r="L513" s="1"/>
      <c r="M513" s="1"/>
      <c r="N513" s="1"/>
      <c r="O513" s="1"/>
      <c r="P513" s="1"/>
      <c r="Q513" s="1"/>
      <c r="R513" s="1"/>
    </row>
    <row r="514" spans="1:18">
      <c r="A514" s="1"/>
      <c r="C514" s="241"/>
      <c r="D514" s="1"/>
      <c r="E514" s="300"/>
      <c r="F514" s="300"/>
      <c r="G514" s="1"/>
      <c r="H514" s="242"/>
      <c r="I514" s="242"/>
      <c r="J514" s="242"/>
      <c r="K514" s="9"/>
      <c r="L514" s="1"/>
      <c r="M514" s="1"/>
      <c r="N514" s="1"/>
      <c r="O514" s="1"/>
      <c r="P514" s="1"/>
      <c r="Q514" s="1"/>
      <c r="R514" s="1"/>
    </row>
    <row r="515" spans="1:18">
      <c r="A515" s="1"/>
      <c r="C515" s="241"/>
      <c r="D515" s="1"/>
      <c r="E515" s="300"/>
      <c r="F515" s="300"/>
      <c r="G515" s="1"/>
      <c r="H515" s="242"/>
      <c r="I515" s="242"/>
      <c r="J515" s="242"/>
      <c r="K515" s="9"/>
      <c r="L515" s="1"/>
      <c r="M515" s="1"/>
      <c r="N515" s="1"/>
      <c r="O515" s="1"/>
      <c r="P515" s="1"/>
      <c r="Q515" s="1"/>
      <c r="R515" s="1"/>
    </row>
    <row r="516" spans="1:18">
      <c r="A516" s="1"/>
      <c r="C516" s="241"/>
      <c r="D516" s="1"/>
      <c r="E516" s="300"/>
      <c r="F516" s="300"/>
      <c r="G516" s="1"/>
      <c r="H516" s="242"/>
      <c r="I516" s="242"/>
      <c r="J516" s="242"/>
      <c r="K516" s="9"/>
      <c r="L516" s="1"/>
      <c r="M516" s="1"/>
      <c r="N516" s="1"/>
      <c r="O516" s="1"/>
      <c r="P516" s="1"/>
      <c r="Q516" s="1"/>
      <c r="R516" s="1"/>
    </row>
    <row r="517" spans="1:18">
      <c r="A517" s="1"/>
      <c r="C517" s="241"/>
      <c r="D517" s="1"/>
      <c r="E517" s="300"/>
      <c r="F517" s="300"/>
      <c r="G517" s="1"/>
      <c r="H517" s="242"/>
      <c r="I517" s="242"/>
      <c r="J517" s="242"/>
      <c r="K517" s="9"/>
      <c r="L517" s="1"/>
      <c r="M517" s="1"/>
      <c r="N517" s="1"/>
      <c r="O517" s="1"/>
      <c r="P517" s="1"/>
      <c r="Q517" s="1"/>
      <c r="R517" s="1"/>
    </row>
    <row r="518" spans="1:18">
      <c r="A518" s="1"/>
      <c r="C518" s="241"/>
      <c r="D518" s="1"/>
      <c r="E518" s="300"/>
      <c r="F518" s="300"/>
      <c r="G518" s="1"/>
      <c r="H518" s="242"/>
      <c r="I518" s="242"/>
      <c r="J518" s="242"/>
      <c r="K518" s="9"/>
      <c r="L518" s="1"/>
      <c r="M518" s="1"/>
      <c r="N518" s="1"/>
      <c r="O518" s="1"/>
      <c r="P518" s="1"/>
      <c r="Q518" s="1"/>
      <c r="R518" s="1"/>
    </row>
    <row r="519" spans="1:18">
      <c r="A519" s="1"/>
      <c r="C519" s="241"/>
      <c r="D519" s="1"/>
      <c r="E519" s="300"/>
      <c r="F519" s="300"/>
      <c r="G519" s="1"/>
      <c r="H519" s="242"/>
      <c r="I519" s="242"/>
      <c r="J519" s="242"/>
      <c r="K519" s="9"/>
      <c r="L519" s="1"/>
      <c r="M519" s="1"/>
      <c r="N519" s="1"/>
      <c r="O519" s="1"/>
      <c r="P519" s="1"/>
      <c r="Q519" s="1"/>
      <c r="R519" s="1"/>
    </row>
    <row r="520" spans="1:18">
      <c r="A520" s="1"/>
      <c r="C520" s="241"/>
      <c r="D520" s="1"/>
      <c r="E520" s="300"/>
      <c r="F520" s="300"/>
      <c r="G520" s="1"/>
      <c r="H520" s="242"/>
      <c r="I520" s="242"/>
      <c r="J520" s="242"/>
      <c r="K520" s="9"/>
      <c r="L520" s="1"/>
      <c r="M520" s="1"/>
      <c r="N520" s="1"/>
      <c r="O520" s="1"/>
      <c r="P520" s="1"/>
      <c r="Q520" s="1"/>
      <c r="R520" s="1"/>
    </row>
    <row r="521" spans="1:18">
      <c r="A521" s="1"/>
      <c r="C521" s="241"/>
      <c r="D521" s="1"/>
      <c r="E521" s="300"/>
      <c r="F521" s="300"/>
      <c r="G521" s="1"/>
      <c r="H521" s="242"/>
      <c r="I521" s="242"/>
      <c r="J521" s="242"/>
      <c r="K521" s="9"/>
      <c r="L521" s="1"/>
      <c r="M521" s="1"/>
      <c r="N521" s="1"/>
      <c r="O521" s="1"/>
      <c r="P521" s="1"/>
      <c r="Q521" s="1"/>
      <c r="R521" s="1"/>
    </row>
    <row r="522" spans="1:18">
      <c r="A522" s="1"/>
      <c r="C522" s="241"/>
      <c r="D522" s="1"/>
      <c r="E522" s="300"/>
      <c r="F522" s="300"/>
      <c r="G522" s="1"/>
      <c r="H522" s="242"/>
      <c r="I522" s="242"/>
      <c r="J522" s="242"/>
      <c r="K522" s="9"/>
      <c r="L522" s="1"/>
      <c r="M522" s="1"/>
      <c r="N522" s="1"/>
      <c r="O522" s="1"/>
      <c r="P522" s="1"/>
      <c r="Q522" s="1"/>
      <c r="R522" s="1"/>
    </row>
    <row r="523" spans="1:18">
      <c r="A523" s="1"/>
      <c r="C523" s="241"/>
      <c r="D523" s="1"/>
      <c r="E523" s="300"/>
      <c r="F523" s="300"/>
      <c r="G523" s="1"/>
      <c r="H523" s="242"/>
      <c r="I523" s="242"/>
      <c r="J523" s="242"/>
      <c r="K523" s="9"/>
      <c r="L523" s="1"/>
      <c r="M523" s="1"/>
      <c r="N523" s="1"/>
      <c r="O523" s="1"/>
      <c r="P523" s="1"/>
      <c r="Q523" s="1"/>
      <c r="R523" s="1"/>
    </row>
    <row r="524" spans="1:18">
      <c r="A524" s="1"/>
      <c r="C524" s="241"/>
      <c r="D524" s="1"/>
      <c r="E524" s="300"/>
      <c r="F524" s="300"/>
      <c r="G524" s="1"/>
      <c r="H524" s="242"/>
      <c r="I524" s="242"/>
      <c r="J524" s="242"/>
      <c r="K524" s="9"/>
      <c r="L524" s="1"/>
      <c r="M524" s="1"/>
      <c r="N524" s="1"/>
      <c r="O524" s="1"/>
      <c r="P524" s="1"/>
      <c r="Q524" s="1"/>
      <c r="R524" s="1"/>
    </row>
    <row r="525" spans="1:18">
      <c r="A525" s="1"/>
      <c r="C525" s="241"/>
      <c r="D525" s="1"/>
      <c r="E525" s="300"/>
      <c r="F525" s="300"/>
      <c r="G525" s="1"/>
      <c r="H525" s="242"/>
      <c r="I525" s="242"/>
      <c r="J525" s="242"/>
      <c r="K525" s="9"/>
      <c r="L525" s="1"/>
      <c r="M525" s="1"/>
      <c r="N525" s="1"/>
      <c r="O525" s="1"/>
      <c r="P525" s="1"/>
      <c r="Q525" s="1"/>
      <c r="R525" s="1"/>
    </row>
    <row r="526" spans="1:18">
      <c r="A526" s="1"/>
      <c r="C526" s="241"/>
      <c r="D526" s="1"/>
      <c r="E526" s="300"/>
      <c r="F526" s="300"/>
      <c r="G526" s="1"/>
      <c r="H526" s="242"/>
      <c r="I526" s="242"/>
      <c r="J526" s="242"/>
      <c r="K526" s="9"/>
      <c r="L526" s="1"/>
      <c r="M526" s="1"/>
      <c r="N526" s="1"/>
      <c r="O526" s="1"/>
      <c r="P526" s="1"/>
      <c r="Q526" s="1"/>
      <c r="R526" s="1"/>
    </row>
    <row r="527" spans="1:18">
      <c r="A527" s="1"/>
      <c r="C527" s="241"/>
      <c r="D527" s="1"/>
      <c r="E527" s="300"/>
      <c r="F527" s="300"/>
      <c r="G527" s="1"/>
      <c r="H527" s="242"/>
      <c r="I527" s="242"/>
      <c r="J527" s="242"/>
      <c r="K527" s="9"/>
      <c r="L527" s="1"/>
      <c r="M527" s="1"/>
      <c r="N527" s="1"/>
      <c r="O527" s="1"/>
      <c r="P527" s="1"/>
      <c r="Q527" s="1"/>
      <c r="R527" s="1"/>
    </row>
    <row r="528" spans="1:18">
      <c r="A528" s="1"/>
      <c r="C528" s="241"/>
      <c r="D528" s="1"/>
      <c r="E528" s="300"/>
      <c r="F528" s="300"/>
      <c r="G528" s="1"/>
      <c r="H528" s="242"/>
      <c r="I528" s="242"/>
      <c r="J528" s="242"/>
      <c r="K528" s="9"/>
      <c r="L528" s="1"/>
      <c r="M528" s="1"/>
      <c r="N528" s="1"/>
      <c r="O528" s="1"/>
      <c r="P528" s="1"/>
      <c r="Q528" s="1"/>
      <c r="R528" s="1"/>
    </row>
    <row r="529" spans="1:18">
      <c r="A529" s="1"/>
      <c r="C529" s="241"/>
      <c r="D529" s="1"/>
      <c r="E529" s="300"/>
      <c r="F529" s="300"/>
      <c r="G529" s="1"/>
      <c r="H529" s="242"/>
      <c r="I529" s="242"/>
      <c r="J529" s="242"/>
      <c r="K529" s="9"/>
      <c r="L529" s="1"/>
      <c r="M529" s="1"/>
      <c r="N529" s="1"/>
      <c r="O529" s="1"/>
      <c r="P529" s="1"/>
      <c r="Q529" s="1"/>
      <c r="R529" s="1"/>
    </row>
    <row r="530" spans="1:18">
      <c r="A530" s="1"/>
      <c r="C530" s="241"/>
      <c r="D530" s="1"/>
      <c r="E530" s="300"/>
      <c r="F530" s="300"/>
      <c r="G530" s="1"/>
      <c r="H530" s="242"/>
      <c r="I530" s="242"/>
      <c r="J530" s="242"/>
      <c r="K530" s="9"/>
      <c r="L530" s="1"/>
      <c r="M530" s="1"/>
      <c r="N530" s="1"/>
      <c r="O530" s="1"/>
      <c r="P530" s="1"/>
      <c r="Q530" s="1"/>
      <c r="R530" s="1"/>
    </row>
    <row r="531" spans="1:18">
      <c r="A531" s="1"/>
      <c r="C531" s="241"/>
      <c r="D531" s="1"/>
      <c r="E531" s="300"/>
      <c r="F531" s="300"/>
      <c r="G531" s="1"/>
      <c r="H531" s="242"/>
      <c r="I531" s="242"/>
      <c r="J531" s="242"/>
      <c r="K531" s="9"/>
      <c r="L531" s="1"/>
      <c r="M531" s="1"/>
      <c r="N531" s="1"/>
      <c r="O531" s="1"/>
      <c r="P531" s="1"/>
      <c r="Q531" s="1"/>
      <c r="R531" s="1"/>
    </row>
    <row r="532" spans="1:18">
      <c r="A532" s="1"/>
      <c r="C532" s="241"/>
      <c r="D532" s="1"/>
      <c r="E532" s="300"/>
      <c r="F532" s="300"/>
      <c r="G532" s="1"/>
      <c r="H532" s="242"/>
      <c r="I532" s="242"/>
      <c r="J532" s="242"/>
      <c r="K532" s="9"/>
      <c r="L532" s="1"/>
      <c r="M532" s="1"/>
      <c r="N532" s="1"/>
      <c r="O532" s="1"/>
      <c r="P532" s="1"/>
      <c r="Q532" s="1"/>
      <c r="R532" s="1"/>
    </row>
    <row r="533" spans="1:18">
      <c r="A533" s="1"/>
      <c r="C533" s="241"/>
      <c r="D533" s="1"/>
      <c r="E533" s="300"/>
      <c r="F533" s="300"/>
      <c r="G533" s="1"/>
      <c r="H533" s="242"/>
      <c r="I533" s="242"/>
      <c r="J533" s="242"/>
      <c r="K533" s="9"/>
      <c r="L533" s="1"/>
      <c r="M533" s="1"/>
      <c r="N533" s="1"/>
      <c r="O533" s="1"/>
      <c r="P533" s="1"/>
      <c r="Q533" s="1"/>
      <c r="R533" s="1"/>
    </row>
    <row r="534" spans="1:18">
      <c r="A534" s="1"/>
      <c r="C534" s="241"/>
      <c r="D534" s="1"/>
      <c r="E534" s="300"/>
      <c r="F534" s="300"/>
      <c r="G534" s="1"/>
      <c r="H534" s="242"/>
      <c r="I534" s="242"/>
      <c r="J534" s="242"/>
      <c r="K534" s="9"/>
      <c r="L534" s="1"/>
      <c r="M534" s="1"/>
      <c r="N534" s="1"/>
      <c r="O534" s="1"/>
      <c r="P534" s="1"/>
      <c r="Q534" s="1"/>
      <c r="R534" s="1"/>
    </row>
    <row r="535" spans="1:18">
      <c r="A535" s="1"/>
      <c r="C535" s="241"/>
      <c r="D535" s="1"/>
      <c r="E535" s="300"/>
      <c r="F535" s="300"/>
      <c r="G535" s="1"/>
      <c r="H535" s="242"/>
      <c r="I535" s="242"/>
      <c r="J535" s="242"/>
      <c r="K535" s="9"/>
      <c r="L535" s="1"/>
      <c r="M535" s="1"/>
      <c r="N535" s="1"/>
      <c r="O535" s="1"/>
      <c r="P535" s="1"/>
      <c r="Q535" s="1"/>
      <c r="R535" s="1"/>
    </row>
    <row r="536" spans="1:18">
      <c r="A536" s="1"/>
      <c r="C536" s="241"/>
      <c r="D536" s="1"/>
      <c r="E536" s="300"/>
      <c r="F536" s="300"/>
      <c r="G536" s="1"/>
      <c r="H536" s="242"/>
      <c r="I536" s="242"/>
      <c r="J536" s="242"/>
      <c r="K536" s="9"/>
      <c r="L536" s="1"/>
      <c r="M536" s="1"/>
      <c r="N536" s="1"/>
      <c r="O536" s="1"/>
      <c r="P536" s="1"/>
      <c r="Q536" s="1"/>
      <c r="R536" s="1"/>
    </row>
    <row r="537" spans="1:18">
      <c r="A537" s="1"/>
      <c r="C537" s="241"/>
      <c r="D537" s="1"/>
      <c r="E537" s="300"/>
      <c r="F537" s="300"/>
      <c r="G537" s="1"/>
      <c r="H537" s="242"/>
      <c r="I537" s="242"/>
      <c r="J537" s="242"/>
      <c r="K537" s="9"/>
      <c r="L537" s="1"/>
      <c r="M537" s="1"/>
      <c r="N537" s="1"/>
      <c r="O537" s="1"/>
      <c r="P537" s="1"/>
      <c r="Q537" s="1"/>
      <c r="R537" s="1"/>
    </row>
    <row r="538" spans="1:18">
      <c r="A538" s="1"/>
      <c r="C538" s="241"/>
      <c r="D538" s="1"/>
      <c r="E538" s="300"/>
      <c r="F538" s="300"/>
      <c r="G538" s="1"/>
      <c r="H538" s="242"/>
      <c r="I538" s="242"/>
      <c r="J538" s="242"/>
      <c r="K538" s="9"/>
      <c r="L538" s="1"/>
      <c r="M538" s="1"/>
      <c r="N538" s="1"/>
      <c r="O538" s="1"/>
      <c r="P538" s="1"/>
      <c r="Q538" s="1"/>
      <c r="R538" s="1"/>
    </row>
    <row r="539" spans="1:18">
      <c r="A539" s="1"/>
      <c r="C539" s="241"/>
      <c r="D539" s="1"/>
      <c r="E539" s="300"/>
      <c r="F539" s="300"/>
      <c r="G539" s="1"/>
      <c r="H539" s="242"/>
      <c r="I539" s="242"/>
      <c r="J539" s="242"/>
      <c r="K539" s="9"/>
      <c r="L539" s="1"/>
      <c r="M539" s="1"/>
      <c r="N539" s="1"/>
      <c r="O539" s="1"/>
      <c r="P539" s="1"/>
      <c r="Q539" s="1"/>
      <c r="R539" s="1"/>
    </row>
    <row r="540" spans="1:18">
      <c r="A540" s="1"/>
      <c r="C540" s="241"/>
      <c r="D540" s="1"/>
      <c r="E540" s="300"/>
      <c r="F540" s="300"/>
      <c r="G540" s="1"/>
      <c r="H540" s="242"/>
      <c r="I540" s="242"/>
      <c r="J540" s="242"/>
      <c r="K540" s="9"/>
      <c r="L540" s="1"/>
      <c r="M540" s="1"/>
      <c r="N540" s="1"/>
      <c r="O540" s="1"/>
      <c r="P540" s="1"/>
      <c r="Q540" s="1"/>
      <c r="R540" s="1"/>
    </row>
    <row r="541" spans="1:18">
      <c r="A541" s="1"/>
      <c r="C541" s="241"/>
      <c r="D541" s="1"/>
      <c r="E541" s="300"/>
      <c r="F541" s="300"/>
      <c r="G541" s="1"/>
      <c r="H541" s="242"/>
      <c r="I541" s="242"/>
      <c r="J541" s="242"/>
      <c r="K541" s="9"/>
      <c r="L541" s="1"/>
      <c r="M541" s="1"/>
      <c r="N541" s="1"/>
      <c r="O541" s="1"/>
      <c r="P541" s="1"/>
      <c r="Q541" s="1"/>
      <c r="R541" s="1"/>
    </row>
    <row r="542" spans="1:18">
      <c r="A542" s="1"/>
      <c r="C542" s="241"/>
      <c r="D542" s="1"/>
      <c r="E542" s="300"/>
      <c r="F542" s="300"/>
      <c r="G542" s="1"/>
      <c r="H542" s="242"/>
      <c r="I542" s="242"/>
      <c r="J542" s="242"/>
      <c r="K542" s="9"/>
      <c r="L542" s="1"/>
      <c r="M542" s="1"/>
      <c r="N542" s="1"/>
      <c r="O542" s="1"/>
      <c r="P542" s="1"/>
      <c r="Q542" s="1"/>
      <c r="R542" s="1"/>
    </row>
    <row r="543" spans="1:18">
      <c r="A543" s="1"/>
      <c r="C543" s="241"/>
      <c r="D543" s="1"/>
      <c r="E543" s="300"/>
      <c r="F543" s="300"/>
      <c r="G543" s="1"/>
      <c r="H543" s="242"/>
      <c r="I543" s="242"/>
      <c r="J543" s="242"/>
      <c r="K543" s="9"/>
      <c r="L543" s="1"/>
      <c r="M543" s="1"/>
      <c r="N543" s="1"/>
      <c r="O543" s="1"/>
      <c r="P543" s="1"/>
      <c r="Q543" s="1"/>
      <c r="R543" s="1"/>
    </row>
    <row r="544" spans="1:18">
      <c r="A544" s="1"/>
      <c r="C544" s="241"/>
      <c r="D544" s="1"/>
      <c r="E544" s="300"/>
      <c r="F544" s="300"/>
      <c r="G544" s="1"/>
      <c r="H544" s="242"/>
      <c r="I544" s="242"/>
      <c r="J544" s="242"/>
      <c r="K544" s="9"/>
      <c r="L544" s="1"/>
      <c r="M544" s="1"/>
      <c r="N544" s="1"/>
      <c r="O544" s="1"/>
      <c r="P544" s="1"/>
      <c r="Q544" s="1"/>
      <c r="R544" s="1"/>
    </row>
    <row r="545" spans="1:18">
      <c r="A545" s="1"/>
      <c r="C545" s="241"/>
      <c r="D545" s="1"/>
      <c r="E545" s="300"/>
      <c r="F545" s="300"/>
      <c r="G545" s="1"/>
      <c r="H545" s="242"/>
      <c r="I545" s="242"/>
      <c r="J545" s="242"/>
      <c r="K545" s="9"/>
      <c r="L545" s="1"/>
      <c r="M545" s="1"/>
      <c r="N545" s="1"/>
      <c r="O545" s="1"/>
      <c r="P545" s="1"/>
      <c r="Q545" s="1"/>
      <c r="R545" s="1"/>
    </row>
    <row r="546" spans="1:18">
      <c r="A546" s="1"/>
      <c r="C546" s="241"/>
      <c r="D546" s="1"/>
      <c r="E546" s="300"/>
      <c r="F546" s="300"/>
      <c r="G546" s="1"/>
      <c r="H546" s="242"/>
      <c r="I546" s="242"/>
      <c r="J546" s="242"/>
      <c r="K546" s="9"/>
      <c r="L546" s="1"/>
      <c r="M546" s="1"/>
      <c r="N546" s="1"/>
      <c r="O546" s="1"/>
      <c r="P546" s="1"/>
      <c r="Q546" s="1"/>
      <c r="R546" s="1"/>
    </row>
    <row r="547" spans="1:18">
      <c r="A547" s="1"/>
      <c r="C547" s="241"/>
      <c r="D547" s="1"/>
      <c r="E547" s="300"/>
      <c r="F547" s="300"/>
      <c r="G547" s="1"/>
      <c r="H547" s="242"/>
      <c r="I547" s="242"/>
      <c r="J547" s="242"/>
      <c r="K547" s="9"/>
      <c r="L547" s="1"/>
      <c r="M547" s="1"/>
      <c r="N547" s="1"/>
      <c r="O547" s="1"/>
      <c r="P547" s="1"/>
      <c r="Q547" s="1"/>
      <c r="R547" s="1"/>
    </row>
    <row r="548" spans="1:18">
      <c r="A548" s="1"/>
      <c r="C548" s="241"/>
      <c r="D548" s="1"/>
      <c r="E548" s="300"/>
      <c r="F548" s="300"/>
      <c r="G548" s="1"/>
      <c r="H548" s="242"/>
      <c r="I548" s="242"/>
      <c r="J548" s="242"/>
      <c r="K548" s="9"/>
      <c r="L548" s="1"/>
      <c r="M548" s="1"/>
      <c r="N548" s="1"/>
      <c r="O548" s="1"/>
      <c r="P548" s="1"/>
      <c r="Q548" s="1"/>
      <c r="R548" s="1"/>
    </row>
    <row r="549" spans="1:18">
      <c r="A549" s="1"/>
      <c r="C549" s="241"/>
      <c r="D549" s="1"/>
      <c r="E549" s="300"/>
      <c r="F549" s="300"/>
      <c r="G549" s="1"/>
      <c r="H549" s="242"/>
      <c r="I549" s="242"/>
      <c r="J549" s="242"/>
      <c r="K549" s="9"/>
      <c r="L549" s="1"/>
      <c r="M549" s="1"/>
      <c r="N549" s="1"/>
      <c r="O549" s="1"/>
      <c r="P549" s="1"/>
      <c r="Q549" s="1"/>
      <c r="R549" s="1"/>
    </row>
    <row r="550" spans="1:18">
      <c r="A550" s="1"/>
      <c r="C550" s="241"/>
      <c r="D550" s="1"/>
      <c r="E550" s="300"/>
      <c r="F550" s="300"/>
      <c r="G550" s="1"/>
      <c r="H550" s="242"/>
      <c r="I550" s="242"/>
      <c r="J550" s="242"/>
      <c r="K550" s="9"/>
      <c r="L550" s="1"/>
      <c r="M550" s="1"/>
      <c r="N550" s="1"/>
      <c r="O550" s="1"/>
      <c r="P550" s="1"/>
      <c r="Q550" s="1"/>
      <c r="R550" s="1"/>
    </row>
    <row r="551" spans="1:18">
      <c r="A551" s="1"/>
      <c r="C551" s="241"/>
      <c r="D551" s="1"/>
      <c r="E551" s="300"/>
      <c r="F551" s="300"/>
      <c r="G551" s="1"/>
      <c r="H551" s="242"/>
      <c r="I551" s="242"/>
      <c r="J551" s="242"/>
      <c r="K551" s="9"/>
      <c r="L551" s="1"/>
      <c r="M551" s="1"/>
      <c r="N551" s="1"/>
      <c r="O551" s="1"/>
      <c r="P551" s="1"/>
      <c r="Q551" s="1"/>
      <c r="R551" s="1"/>
    </row>
    <row r="552" spans="1:18">
      <c r="A552" s="1"/>
      <c r="C552" s="241"/>
      <c r="D552" s="1"/>
      <c r="E552" s="300"/>
      <c r="F552" s="300"/>
      <c r="G552" s="1"/>
      <c r="H552" s="242"/>
      <c r="I552" s="242"/>
      <c r="J552" s="242"/>
      <c r="K552" s="9"/>
      <c r="L552" s="1"/>
      <c r="M552" s="1"/>
      <c r="N552" s="1"/>
      <c r="O552" s="1"/>
      <c r="P552" s="1"/>
      <c r="Q552" s="1"/>
      <c r="R552" s="1"/>
    </row>
    <row r="553" spans="1:18">
      <c r="A553" s="1"/>
      <c r="C553" s="241"/>
      <c r="D553" s="1"/>
      <c r="E553" s="300"/>
      <c r="F553" s="300"/>
      <c r="G553" s="1"/>
      <c r="H553" s="242"/>
      <c r="I553" s="242"/>
      <c r="J553" s="242"/>
      <c r="K553" s="9"/>
      <c r="L553" s="1"/>
      <c r="M553" s="1"/>
      <c r="N553" s="1"/>
      <c r="O553" s="1"/>
      <c r="P553" s="1"/>
      <c r="Q553" s="1"/>
      <c r="R553" s="1"/>
    </row>
    <row r="554" spans="1:18">
      <c r="A554" s="1"/>
      <c r="C554" s="241"/>
      <c r="D554" s="1"/>
      <c r="E554" s="300"/>
      <c r="F554" s="300"/>
      <c r="G554" s="1"/>
      <c r="H554" s="242"/>
      <c r="I554" s="242"/>
      <c r="J554" s="242"/>
      <c r="K554" s="9"/>
      <c r="L554" s="1"/>
      <c r="M554" s="1"/>
      <c r="N554" s="1"/>
      <c r="O554" s="1"/>
      <c r="P554" s="1"/>
      <c r="Q554" s="1"/>
      <c r="R554" s="1"/>
    </row>
    <row r="555" spans="1:18">
      <c r="A555" s="1"/>
      <c r="C555" s="241"/>
      <c r="D555" s="1"/>
      <c r="E555" s="300"/>
      <c r="F555" s="300"/>
      <c r="G555" s="1"/>
      <c r="H555" s="242"/>
      <c r="I555" s="242"/>
      <c r="J555" s="242"/>
      <c r="K555" s="9"/>
      <c r="L555" s="1"/>
      <c r="M555" s="1"/>
      <c r="N555" s="1"/>
      <c r="O555" s="1"/>
      <c r="P555" s="1"/>
      <c r="Q555" s="1"/>
      <c r="R555" s="1"/>
    </row>
    <row r="556" spans="1:18">
      <c r="A556" s="1"/>
      <c r="C556" s="241"/>
      <c r="D556" s="1"/>
      <c r="E556" s="300"/>
      <c r="F556" s="300"/>
      <c r="G556" s="1"/>
      <c r="H556" s="242"/>
      <c r="I556" s="242"/>
      <c r="J556" s="242"/>
      <c r="K556" s="9"/>
      <c r="L556" s="1"/>
      <c r="M556" s="1"/>
      <c r="N556" s="1"/>
      <c r="O556" s="1"/>
      <c r="P556" s="1"/>
      <c r="Q556" s="1"/>
      <c r="R556" s="1"/>
    </row>
    <row r="557" spans="1:18">
      <c r="A557" s="1"/>
      <c r="C557" s="241"/>
      <c r="D557" s="1"/>
      <c r="E557" s="300"/>
      <c r="F557" s="300"/>
      <c r="G557" s="1"/>
      <c r="H557" s="242"/>
      <c r="I557" s="242"/>
      <c r="J557" s="242"/>
      <c r="K557" s="9"/>
      <c r="L557" s="1"/>
      <c r="M557" s="1"/>
      <c r="N557" s="1"/>
      <c r="O557" s="1"/>
      <c r="P557" s="1"/>
      <c r="Q557" s="1"/>
      <c r="R557" s="1"/>
    </row>
    <row r="558" spans="1:18">
      <c r="A558" s="1"/>
      <c r="C558" s="241"/>
      <c r="D558" s="1"/>
      <c r="E558" s="300"/>
      <c r="F558" s="300"/>
      <c r="G558" s="1"/>
      <c r="H558" s="242"/>
      <c r="I558" s="242"/>
      <c r="J558" s="242"/>
      <c r="K558" s="9"/>
      <c r="L558" s="1"/>
      <c r="M558" s="1"/>
      <c r="N558" s="1"/>
      <c r="O558" s="1"/>
      <c r="P558" s="1"/>
      <c r="Q558" s="1"/>
      <c r="R558" s="1"/>
    </row>
    <row r="559" spans="1:18">
      <c r="A559" s="1"/>
      <c r="C559" s="241"/>
      <c r="D559" s="1"/>
      <c r="E559" s="300"/>
      <c r="F559" s="300"/>
      <c r="G559" s="1"/>
      <c r="H559" s="242"/>
      <c r="I559" s="242"/>
      <c r="J559" s="242"/>
      <c r="K559" s="9"/>
      <c r="L559" s="1"/>
      <c r="M559" s="1"/>
      <c r="N559" s="1"/>
      <c r="O559" s="1"/>
      <c r="P559" s="1"/>
      <c r="Q559" s="1"/>
      <c r="R559" s="1"/>
    </row>
    <row r="560" spans="1:18">
      <c r="A560" s="1"/>
      <c r="C560" s="241"/>
      <c r="D560" s="1"/>
      <c r="E560" s="300"/>
      <c r="F560" s="300"/>
      <c r="G560" s="1"/>
      <c r="H560" s="242"/>
      <c r="I560" s="242"/>
      <c r="J560" s="242"/>
      <c r="K560" s="9"/>
      <c r="L560" s="1"/>
      <c r="M560" s="1"/>
      <c r="N560" s="1"/>
      <c r="O560" s="1"/>
      <c r="P560" s="1"/>
      <c r="Q560" s="1"/>
      <c r="R560" s="1"/>
    </row>
    <row r="561" spans="1:12">
      <c r="A561" s="1"/>
      <c r="C561" s="241"/>
      <c r="D561" s="1"/>
      <c r="E561" s="300"/>
      <c r="F561" s="300"/>
      <c r="G561" s="1"/>
      <c r="H561" s="242"/>
      <c r="I561" s="242"/>
      <c r="J561" s="242"/>
      <c r="K561" s="9"/>
      <c r="L561" s="1"/>
    </row>
    <row r="562" spans="1:12">
      <c r="A562" s="1"/>
      <c r="C562" s="241"/>
      <c r="D562" s="1"/>
      <c r="E562" s="300"/>
      <c r="F562" s="300"/>
      <c r="G562" s="1"/>
      <c r="H562" s="242"/>
      <c r="I562" s="242"/>
      <c r="J562" s="242"/>
      <c r="K562" s="9"/>
      <c r="L562" s="1"/>
    </row>
    <row r="563" spans="1:12">
      <c r="C563" s="241"/>
      <c r="D563" s="1"/>
      <c r="E563" s="300"/>
      <c r="F563" s="300"/>
      <c r="G563" s="1"/>
      <c r="H563" s="242"/>
      <c r="I563" s="242"/>
      <c r="J563" s="242"/>
      <c r="K563" s="9"/>
    </row>
    <row r="564" spans="1:12">
      <c r="D564" s="1"/>
      <c r="E564" s="300"/>
      <c r="F564" s="300"/>
      <c r="G564" s="1"/>
      <c r="H564" s="242"/>
      <c r="I564" s="242"/>
      <c r="J564" s="242"/>
      <c r="K564" s="9"/>
    </row>
    <row r="565" spans="1:12">
      <c r="D565" s="1"/>
      <c r="E565" s="300"/>
      <c r="F565" s="300"/>
      <c r="G565" s="1"/>
      <c r="H565" s="242"/>
      <c r="I565" s="242"/>
      <c r="J565" s="242"/>
      <c r="K565" s="9"/>
    </row>
    <row r="566" spans="1:12">
      <c r="D566" s="1"/>
      <c r="E566" s="300"/>
      <c r="F566" s="300"/>
      <c r="G566" s="1"/>
      <c r="H566" s="242"/>
      <c r="I566" s="242"/>
      <c r="J566" s="242"/>
      <c r="K566" s="9"/>
    </row>
    <row r="567" spans="1:12">
      <c r="C567"/>
      <c r="D567" s="1"/>
      <c r="E567" s="300"/>
      <c r="F567" s="300"/>
      <c r="G567" s="1"/>
      <c r="H567" s="242"/>
      <c r="I567" s="242"/>
      <c r="J567" s="242"/>
      <c r="K567" s="9"/>
    </row>
    <row r="568" spans="1:12">
      <c r="C568"/>
      <c r="D568" s="1"/>
      <c r="E568" s="300"/>
      <c r="F568" s="300"/>
      <c r="G568" s="1"/>
      <c r="H568" s="242"/>
      <c r="I568" s="242"/>
      <c r="J568" s="242"/>
      <c r="K568" s="9"/>
    </row>
    <row r="569" spans="1:12">
      <c r="C569"/>
      <c r="D569" s="1"/>
      <c r="E569" s="300"/>
      <c r="F569" s="300"/>
      <c r="G569" s="1"/>
      <c r="H569" s="242"/>
      <c r="I569" s="242"/>
      <c r="J569" s="242"/>
      <c r="K569" s="9"/>
    </row>
    <row r="570" spans="1:12">
      <c r="C570"/>
      <c r="D570" s="1"/>
      <c r="E570" s="300"/>
      <c r="F570" s="300"/>
      <c r="G570" s="1"/>
      <c r="H570" s="242"/>
      <c r="I570" s="242"/>
      <c r="J570" s="242"/>
      <c r="K570" s="9"/>
    </row>
    <row r="571" spans="1:12">
      <c r="C571"/>
      <c r="D571" s="1"/>
      <c r="E571" s="300"/>
      <c r="F571" s="300"/>
      <c r="G571" s="1"/>
      <c r="H571" s="242"/>
      <c r="I571" s="242"/>
      <c r="J571" s="242"/>
      <c r="K571" s="9"/>
    </row>
  </sheetData>
  <mergeCells count="172">
    <mergeCell ref="C175:C178"/>
    <mergeCell ref="C38:C39"/>
    <mergeCell ref="C40:C41"/>
    <mergeCell ref="C42:C43"/>
    <mergeCell ref="C112:K112"/>
    <mergeCell ref="C113:D114"/>
    <mergeCell ref="K78:K79"/>
    <mergeCell ref="K76:K77"/>
    <mergeCell ref="J97:J98"/>
    <mergeCell ref="J113:J114"/>
    <mergeCell ref="K82:K83"/>
    <mergeCell ref="K85:K86"/>
    <mergeCell ref="I85:I86"/>
    <mergeCell ref="H85:H86"/>
    <mergeCell ref="C150:C151"/>
    <mergeCell ref="C148:C149"/>
    <mergeCell ref="C144:C145"/>
    <mergeCell ref="C161:C162"/>
    <mergeCell ref="K128:K129"/>
    <mergeCell ref="K146:K147"/>
    <mergeCell ref="C140:C141"/>
    <mergeCell ref="C138:C139"/>
    <mergeCell ref="C136:C137"/>
    <mergeCell ref="C36:D37"/>
    <mergeCell ref="E36:G36"/>
    <mergeCell ref="H36:H37"/>
    <mergeCell ref="I36:I37"/>
    <mergeCell ref="J36:J37"/>
    <mergeCell ref="K36:K37"/>
    <mergeCell ref="C80:C81"/>
    <mergeCell ref="C165:C166"/>
    <mergeCell ref="K44:K45"/>
    <mergeCell ref="C48:D49"/>
    <mergeCell ref="C74:C75"/>
    <mergeCell ref="C72:C73"/>
    <mergeCell ref="C171:D172"/>
    <mergeCell ref="E171:G171"/>
    <mergeCell ref="H171:H172"/>
    <mergeCell ref="I171:I172"/>
    <mergeCell ref="K171:K172"/>
    <mergeCell ref="J171:J172"/>
    <mergeCell ref="C115:C116"/>
    <mergeCell ref="C153:D153"/>
    <mergeCell ref="C154:K154"/>
    <mergeCell ref="C155:D156"/>
    <mergeCell ref="E155:G155"/>
    <mergeCell ref="H155:H156"/>
    <mergeCell ref="I155:I156"/>
    <mergeCell ref="K155:K156"/>
    <mergeCell ref="K150:K151"/>
    <mergeCell ref="K148:K149"/>
    <mergeCell ref="K117:K118"/>
    <mergeCell ref="C142:C143"/>
    <mergeCell ref="K134:K135"/>
    <mergeCell ref="K163:K164"/>
    <mergeCell ref="J155:J156"/>
    <mergeCell ref="C126:C127"/>
    <mergeCell ref="C146:C147"/>
    <mergeCell ref="C128:C129"/>
    <mergeCell ref="C130:C131"/>
    <mergeCell ref="K130:K131"/>
    <mergeCell ref="J44:J45"/>
    <mergeCell ref="J48:J49"/>
    <mergeCell ref="C62:C63"/>
    <mergeCell ref="C57:C58"/>
    <mergeCell ref="J54:J55"/>
    <mergeCell ref="C60:C61"/>
    <mergeCell ref="K144:K145"/>
    <mergeCell ref="K142:K143"/>
    <mergeCell ref="K140:K141"/>
    <mergeCell ref="K138:K139"/>
    <mergeCell ref="K136:K137"/>
    <mergeCell ref="K97:K98"/>
    <mergeCell ref="C134:C135"/>
    <mergeCell ref="K72:K73"/>
    <mergeCell ref="K70:K71"/>
    <mergeCell ref="K123:K124"/>
    <mergeCell ref="K126:K127"/>
    <mergeCell ref="C78:C79"/>
    <mergeCell ref="C121:C122"/>
    <mergeCell ref="K121:K122"/>
    <mergeCell ref="K64:K65"/>
    <mergeCell ref="C123:C124"/>
    <mergeCell ref="J66:J67"/>
    <mergeCell ref="C132:C133"/>
    <mergeCell ref="H113:H114"/>
    <mergeCell ref="I113:I114"/>
    <mergeCell ref="K115:K116"/>
    <mergeCell ref="C119:C120"/>
    <mergeCell ref="K119:K120"/>
    <mergeCell ref="K132:K133"/>
    <mergeCell ref="H48:H49"/>
    <mergeCell ref="I48:I49"/>
    <mergeCell ref="K48:K49"/>
    <mergeCell ref="J85:J86"/>
    <mergeCell ref="K113:K114"/>
    <mergeCell ref="K66:K67"/>
    <mergeCell ref="N13:S13"/>
    <mergeCell ref="C9:K9"/>
    <mergeCell ref="H15:H16"/>
    <mergeCell ref="K15:K16"/>
    <mergeCell ref="C21:K21"/>
    <mergeCell ref="C13:K13"/>
    <mergeCell ref="E15:G15"/>
    <mergeCell ref="J15:J16"/>
    <mergeCell ref="K22:K23"/>
    <mergeCell ref="J11:K11"/>
    <mergeCell ref="K31:K32"/>
    <mergeCell ref="C14:K14"/>
    <mergeCell ref="C29:D29"/>
    <mergeCell ref="C30:K30"/>
    <mergeCell ref="C22:D23"/>
    <mergeCell ref="I15:I16"/>
    <mergeCell ref="I22:I23"/>
    <mergeCell ref="C20:K20"/>
    <mergeCell ref="C15:D16"/>
    <mergeCell ref="H22:H23"/>
    <mergeCell ref="E22:G22"/>
    <mergeCell ref="E31:G31"/>
    <mergeCell ref="J22:J23"/>
    <mergeCell ref="J31:J32"/>
    <mergeCell ref="C31:D32"/>
    <mergeCell ref="I31:I32"/>
    <mergeCell ref="H31:H32"/>
    <mergeCell ref="C34:C35"/>
    <mergeCell ref="C97:D98"/>
    <mergeCell ref="C105:C106"/>
    <mergeCell ref="H97:H98"/>
    <mergeCell ref="I97:I98"/>
    <mergeCell ref="H44:H45"/>
    <mergeCell ref="I44:I45"/>
    <mergeCell ref="E54:G54"/>
    <mergeCell ref="E48:G48"/>
    <mergeCell ref="E44:G44"/>
    <mergeCell ref="E85:G85"/>
    <mergeCell ref="E97:G97"/>
    <mergeCell ref="C54:D55"/>
    <mergeCell ref="H54:H55"/>
    <mergeCell ref="I54:I55"/>
    <mergeCell ref="C85:D86"/>
    <mergeCell ref="C95:C96"/>
    <mergeCell ref="I66:I67"/>
    <mergeCell ref="H66:H67"/>
    <mergeCell ref="C68:C69"/>
    <mergeCell ref="C70:C71"/>
    <mergeCell ref="E66:G66"/>
    <mergeCell ref="C66:D67"/>
    <mergeCell ref="C44:D45"/>
    <mergeCell ref="C173:C174"/>
    <mergeCell ref="C179:C180"/>
    <mergeCell ref="K173:K174"/>
    <mergeCell ref="K46:K47"/>
    <mergeCell ref="K57:K58"/>
    <mergeCell ref="K60:K61"/>
    <mergeCell ref="K62:K63"/>
    <mergeCell ref="C76:C77"/>
    <mergeCell ref="C82:C83"/>
    <mergeCell ref="C46:C47"/>
    <mergeCell ref="C64:C65"/>
    <mergeCell ref="C88:C89"/>
    <mergeCell ref="K95:K96"/>
    <mergeCell ref="K93:K94"/>
    <mergeCell ref="K88:K89"/>
    <mergeCell ref="K74:K75"/>
    <mergeCell ref="K68:K69"/>
    <mergeCell ref="K176:K177"/>
    <mergeCell ref="K54:K55"/>
    <mergeCell ref="C170:K170"/>
    <mergeCell ref="C163:C164"/>
    <mergeCell ref="K165:K166"/>
    <mergeCell ref="C117:C118"/>
    <mergeCell ref="E113:G113"/>
  </mergeCells>
  <phoneticPr fontId="19" type="noConversion"/>
  <conditionalFormatting sqref="E33:E35 E38:E43">
    <cfRule type="containsText" dxfId="68" priority="119" operator="containsText" text="x">
      <formula>NOT(ISERROR(SEARCH("x",E33)))</formula>
    </cfRule>
  </conditionalFormatting>
  <conditionalFormatting sqref="E44:E96 E173:E180 E17:E18 E24:E27 E99 E101:E109 E115:E124 E126:E151 E157:E167">
    <cfRule type="containsText" dxfId="67" priority="194" operator="containsText" text="x">
      <formula>NOT(ISERROR(SEARCH("x",E17)))</formula>
    </cfRule>
  </conditionalFormatting>
  <conditionalFormatting sqref="F17:G18 E125:J125">
    <cfRule type="containsText" dxfId="65" priority="161" operator="containsText" text="x">
      <formula>NOT(ISERROR(SEARCH("x",E17)))</formula>
    </cfRule>
  </conditionalFormatting>
  <conditionalFormatting sqref="F24:G27">
    <cfRule type="containsText" dxfId="64" priority="159" operator="containsText" text="x">
      <formula>NOT(ISERROR(SEARCH("x",F24)))</formula>
    </cfRule>
  </conditionalFormatting>
  <conditionalFormatting sqref="F33:G35">
    <cfRule type="containsText" dxfId="63" priority="157" operator="containsText" text="x">
      <formula>NOT(ISERROR(SEARCH("x",F33)))</formula>
    </cfRule>
  </conditionalFormatting>
  <conditionalFormatting sqref="F38:G43">
    <cfRule type="containsText" dxfId="62" priority="118" operator="containsText" text="x">
      <formula>NOT(ISERROR(SEARCH("x",F38)))</formula>
    </cfRule>
  </conditionalFormatting>
  <conditionalFormatting sqref="F88:G96">
    <cfRule type="containsText" dxfId="61" priority="147" operator="containsText" text="x">
      <formula>NOT(ISERROR(SEARCH("x",F88)))</formula>
    </cfRule>
  </conditionalFormatting>
  <conditionalFormatting sqref="F99:G99">
    <cfRule type="containsText" dxfId="60" priority="145" operator="containsText" text="x">
      <formula>NOT(ISERROR(SEARCH("x",F99)))</formula>
    </cfRule>
  </conditionalFormatting>
  <conditionalFormatting sqref="F101:G109 F46:F84 E60:F61 E65:F65 E100:G100">
    <cfRule type="containsText" dxfId="59" priority="191" operator="containsText" text="x">
      <formula>NOT(ISERROR(SEARCH("x",E46)))</formula>
    </cfRule>
  </conditionalFormatting>
  <conditionalFormatting sqref="F115:G124 F126:G151">
    <cfRule type="containsText" dxfId="58" priority="143" operator="containsText" text="x">
      <formula>NOT(ISERROR(SEARCH("x",F115)))</formula>
    </cfRule>
  </conditionalFormatting>
  <conditionalFormatting sqref="F157:G167">
    <cfRule type="containsText" dxfId="57" priority="141" operator="containsText" text="x">
      <formula>NOT(ISERROR(SEARCH("x",F157)))</formula>
    </cfRule>
  </conditionalFormatting>
  <conditionalFormatting sqref="F173:G180 E95:E96">
    <cfRule type="containsText" dxfId="56" priority="192" operator="containsText" text="x">
      <formula>NOT(ISERROR(SEARCH("x",E95)))</formula>
    </cfRule>
  </conditionalFormatting>
  <conditionalFormatting sqref="G17:G18 G101:G109 G173:G180">
    <cfRule type="containsText" dxfId="55" priority="160" operator="containsText" text="x">
      <formula>NOT(ISERROR(SEARCH("x",G17)))</formula>
    </cfRule>
  </conditionalFormatting>
  <conditionalFormatting sqref="G24:G27">
    <cfRule type="containsText" dxfId="54" priority="158" operator="containsText" text="x">
      <formula>NOT(ISERROR(SEARCH("x",G24)))</formula>
    </cfRule>
  </conditionalFormatting>
  <conditionalFormatting sqref="G33:G35 G38:G43">
    <cfRule type="containsText" dxfId="53" priority="117" operator="containsText" text="x">
      <formula>NOT(ISERROR(SEARCH("x",G33)))</formula>
    </cfRule>
  </conditionalFormatting>
  <conditionalFormatting sqref="G46:G47">
    <cfRule type="containsText" dxfId="52" priority="155" operator="containsText" text="x">
      <formula>NOT(ISERROR(SEARCH("x",G46)))</formula>
    </cfRule>
    <cfRule type="containsText" dxfId="51" priority="154" operator="containsText" text="x">
      <formula>NOT(ISERROR(SEARCH("x",G46)))</formula>
    </cfRule>
  </conditionalFormatting>
  <conditionalFormatting sqref="G50:G53">
    <cfRule type="containsText" dxfId="50" priority="153" operator="containsText" text="x">
      <formula>NOT(ISERROR(SEARCH("x",G50)))</formula>
    </cfRule>
  </conditionalFormatting>
  <conditionalFormatting sqref="G51:G53">
    <cfRule type="containsText" dxfId="49" priority="152" operator="containsText" text="x">
      <formula>NOT(ISERROR(SEARCH("x",G51)))</formula>
    </cfRule>
  </conditionalFormatting>
  <conditionalFormatting sqref="G56:G65">
    <cfRule type="containsText" dxfId="48" priority="151" operator="containsText" text="x">
      <formula>NOT(ISERROR(SEARCH("x",G56)))</formula>
    </cfRule>
    <cfRule type="containsText" dxfId="47" priority="150" operator="containsText" text="x">
      <formula>NOT(ISERROR(SEARCH("x",G56)))</formula>
    </cfRule>
  </conditionalFormatting>
  <conditionalFormatting sqref="G68:G84">
    <cfRule type="containsText" dxfId="46" priority="149" operator="containsText" text="x">
      <formula>NOT(ISERROR(SEARCH("x",G68)))</formula>
    </cfRule>
    <cfRule type="containsText" dxfId="45" priority="148" operator="containsText" text="x">
      <formula>NOT(ISERROR(SEARCH("x",G68)))</formula>
    </cfRule>
  </conditionalFormatting>
  <conditionalFormatting sqref="G88:G96">
    <cfRule type="containsText" dxfId="44" priority="146" operator="containsText" text="x">
      <formula>NOT(ISERROR(SEARCH("x",G88)))</formula>
    </cfRule>
  </conditionalFormatting>
  <conditionalFormatting sqref="G99">
    <cfRule type="containsText" dxfId="43" priority="144" operator="containsText" text="x">
      <formula>NOT(ISERROR(SEARCH("x",G99)))</formula>
    </cfRule>
  </conditionalFormatting>
  <conditionalFormatting sqref="G115:G124 G126:G151">
    <cfRule type="containsText" dxfId="42" priority="142" operator="containsText" text="x">
      <formula>NOT(ISERROR(SEARCH("x",G115)))</formula>
    </cfRule>
  </conditionalFormatting>
  <conditionalFormatting sqref="G157:G167">
    <cfRule type="containsText" dxfId="41" priority="140" operator="containsText" text="x">
      <formula>NOT(ISERROR(SEARCH("x",G157)))</formula>
    </cfRule>
  </conditionalFormatting>
  <conditionalFormatting sqref="I33:I35 I38:J43">
    <cfRule type="notContainsBlanks" dxfId="40" priority="94">
      <formula>LEN(TRIM(I33))&gt;0</formula>
    </cfRule>
  </conditionalFormatting>
  <conditionalFormatting sqref="I115:I124">
    <cfRule type="notContainsBlanks" dxfId="39" priority="42">
      <formula>LEN(TRIM(I115))&gt;0</formula>
    </cfRule>
  </conditionalFormatting>
  <conditionalFormatting sqref="I126:I151">
    <cfRule type="notContainsBlanks" dxfId="38" priority="16">
      <formula>LEN(TRIM(I126))&gt;0</formula>
    </cfRule>
  </conditionalFormatting>
  <conditionalFormatting sqref="I157:I167">
    <cfRule type="notContainsBlanks" dxfId="37" priority="11">
      <formula>LEN(TRIM(I157))&gt;0</formula>
    </cfRule>
  </conditionalFormatting>
  <conditionalFormatting sqref="I173:I180">
    <cfRule type="notContainsBlanks" dxfId="36" priority="2">
      <formula>LEN(TRIM(I173))&gt;0</formula>
    </cfRule>
  </conditionalFormatting>
  <conditionalFormatting sqref="I17:J18">
    <cfRule type="notContainsBlanks" dxfId="35" priority="100">
      <formula>LEN(TRIM(I17))&gt;0</formula>
    </cfRule>
  </conditionalFormatting>
  <conditionalFormatting sqref="I24:J27">
    <cfRule type="notContainsBlanks" dxfId="34" priority="112">
      <formula>LEN(TRIM(I24))&gt;0</formula>
    </cfRule>
  </conditionalFormatting>
  <conditionalFormatting sqref="I46:J47">
    <cfRule type="notContainsBlanks" dxfId="33" priority="105">
      <formula>LEN(TRIM(I46))&gt;0</formula>
    </cfRule>
  </conditionalFormatting>
  <conditionalFormatting sqref="I50:J53">
    <cfRule type="notContainsBlanks" dxfId="32" priority="93">
      <formula>LEN(TRIM(I50))&gt;0</formula>
    </cfRule>
  </conditionalFormatting>
  <conditionalFormatting sqref="I56:J65">
    <cfRule type="notContainsBlanks" dxfId="31" priority="85">
      <formula>LEN(TRIM(I56))&gt;0</formula>
    </cfRule>
  </conditionalFormatting>
  <conditionalFormatting sqref="I68:J84">
    <cfRule type="notContainsBlanks" dxfId="30" priority="70">
      <formula>LEN(TRIM(I68))&gt;0</formula>
    </cfRule>
  </conditionalFormatting>
  <conditionalFormatting sqref="I87:J96">
    <cfRule type="notContainsBlanks" dxfId="29" priority="61">
      <formula>LEN(TRIM(I87))&gt;0</formula>
    </cfRule>
  </conditionalFormatting>
  <conditionalFormatting sqref="I99:J99">
    <cfRule type="notContainsBlanks" dxfId="28" priority="60">
      <formula>LEN(TRIM(I99))&gt;0</formula>
    </cfRule>
  </conditionalFormatting>
  <conditionalFormatting sqref="I101:J109">
    <cfRule type="notContainsBlanks" dxfId="27" priority="51">
      <formula>LEN(TRIM(I101))&gt;0</formula>
    </cfRule>
  </conditionalFormatting>
  <conditionalFormatting sqref="J34:J35">
    <cfRule type="notContainsBlanks" dxfId="26" priority="116">
      <formula>LEN(TRIM(J34))&gt;0</formula>
    </cfRule>
  </conditionalFormatting>
  <conditionalFormatting sqref="J126:J141">
    <cfRule type="notContainsBlanks" dxfId="25" priority="195">
      <formula>LEN(TRIM(J126))&gt;0</formula>
    </cfRule>
  </conditionalFormatting>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73" operator="containsText" id="{528A838B-2FED-4BC2-A61D-1EF89EF8A6B7}">
            <xm:f>NOT(ISERROR(SEARCH($E$175,E175)))</xm:f>
            <xm:f>$E$175</xm:f>
            <x14:dxf>
              <fill>
                <patternFill>
                  <bgColor rgb="FFFFCCCC"/>
                </patternFill>
              </fill>
            </x14:dxf>
          </x14:cfRule>
          <xm:sqref>E175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4536-C696-49C3-BE72-417896503D89}">
  <sheetPr codeName="Tabelle3">
    <tabColor theme="4"/>
  </sheetPr>
  <dimension ref="A1:AR244"/>
  <sheetViews>
    <sheetView zoomScale="50" zoomScaleNormal="50" workbookViewId="0">
      <pane ySplit="15" topLeftCell="A16" activePane="bottomLeft" state="frozen"/>
      <selection pane="bottomLeft" activeCell="U13" sqref="U13:X13"/>
    </sheetView>
  </sheetViews>
  <sheetFormatPr baseColWidth="10" defaultColWidth="11.140625" defaultRowHeight="12"/>
  <cols>
    <col min="2" max="2" width="7.5703125" customWidth="1"/>
    <col min="3" max="3" width="49" customWidth="1"/>
    <col min="4" max="4" width="21" customWidth="1"/>
    <col min="5" max="5" width="26.5703125" customWidth="1"/>
    <col min="6" max="6" width="19.140625" customWidth="1"/>
    <col min="7" max="7" width="16.5703125" style="25" customWidth="1"/>
    <col min="8" max="8" width="17.5703125" customWidth="1"/>
    <col min="9" max="10" width="16.5703125" customWidth="1"/>
    <col min="11" max="11" width="20.5703125" customWidth="1"/>
    <col min="12" max="12" width="16.5703125" customWidth="1"/>
    <col min="13" max="13" width="17.5703125" customWidth="1"/>
    <col min="14" max="15" width="16.5703125" customWidth="1"/>
    <col min="16" max="16" width="28.140625" customWidth="1"/>
    <col min="17" max="17" width="20.140625" customWidth="1"/>
    <col min="18" max="18" width="18.5703125" customWidth="1"/>
    <col min="19" max="19" width="21" customWidth="1"/>
    <col min="20" max="20" width="21.5703125" customWidth="1"/>
    <col min="21" max="21" width="19.42578125" style="10" customWidth="1"/>
    <col min="22" max="24" width="18.5703125" customWidth="1"/>
    <col min="25" max="25" width="19.85546875" customWidth="1"/>
    <col min="26" max="26" width="20.5703125" customWidth="1"/>
    <col min="27" max="27" width="18.5703125" style="10" customWidth="1"/>
    <col min="29" max="29" width="11.42578125" customWidth="1"/>
    <col min="31" max="31" width="20.140625" customWidth="1"/>
    <col min="32" max="32" width="18.5703125" customWidth="1"/>
    <col min="33" max="33" width="20.140625" customWidth="1"/>
    <col min="34" max="34" width="18.140625" customWidth="1"/>
    <col min="35" max="35" width="14.140625" customWidth="1"/>
  </cols>
  <sheetData>
    <row r="1" spans="1:44">
      <c r="A1" s="1"/>
      <c r="B1" s="1"/>
      <c r="C1" s="1"/>
      <c r="D1" s="1"/>
      <c r="E1" s="1"/>
      <c r="F1" s="1"/>
      <c r="G1" s="27"/>
      <c r="H1" s="1"/>
      <c r="I1" s="1"/>
      <c r="J1" s="1"/>
      <c r="K1" s="1"/>
      <c r="L1" s="1"/>
      <c r="M1" s="1"/>
      <c r="N1" s="1"/>
      <c r="O1" s="1"/>
      <c r="P1" s="1"/>
      <c r="Q1" s="1"/>
      <c r="R1" s="1"/>
      <c r="S1" s="1"/>
      <c r="T1" s="1"/>
      <c r="U1" s="9"/>
      <c r="V1" s="1"/>
      <c r="W1" s="1"/>
      <c r="X1" s="1"/>
      <c r="Y1" s="1"/>
      <c r="Z1" s="1"/>
      <c r="AA1" s="9"/>
      <c r="AB1" s="1"/>
      <c r="AC1" s="1"/>
      <c r="AD1" s="1"/>
      <c r="AE1" s="1"/>
      <c r="AG1" s="1"/>
    </row>
    <row r="2" spans="1:44">
      <c r="A2" s="1"/>
      <c r="B2" s="1"/>
      <c r="C2" s="1"/>
      <c r="D2" s="1"/>
      <c r="E2" s="1"/>
      <c r="F2" s="1"/>
      <c r="G2" s="27"/>
      <c r="H2" s="1"/>
      <c r="I2" s="1"/>
      <c r="J2" s="1"/>
      <c r="K2" s="1"/>
      <c r="L2" s="1"/>
      <c r="M2" s="1"/>
      <c r="N2" s="1"/>
      <c r="O2" s="1"/>
      <c r="P2" s="1"/>
      <c r="Q2" s="1"/>
      <c r="R2" s="1"/>
      <c r="S2" s="1"/>
      <c r="T2" s="1"/>
      <c r="U2" s="9"/>
      <c r="V2" s="1"/>
      <c r="W2" s="1"/>
      <c r="X2" s="1"/>
      <c r="Y2" s="1"/>
      <c r="Z2" s="1"/>
      <c r="AA2" s="9"/>
      <c r="AB2" s="1"/>
      <c r="AC2" s="1"/>
      <c r="AD2" s="1"/>
      <c r="AE2" s="1"/>
      <c r="AF2" s="1"/>
      <c r="AG2" s="1"/>
      <c r="AH2" s="1"/>
      <c r="AI2" s="1"/>
      <c r="AJ2" s="1"/>
      <c r="AK2" s="1"/>
      <c r="AL2" s="1"/>
      <c r="AM2" s="1"/>
      <c r="AN2" s="1"/>
      <c r="AO2" s="1"/>
      <c r="AP2" s="1"/>
      <c r="AQ2" s="1"/>
      <c r="AR2" s="1"/>
    </row>
    <row r="3" spans="1:44">
      <c r="A3" s="1"/>
      <c r="B3" s="1"/>
      <c r="C3" s="1"/>
      <c r="D3" s="1"/>
      <c r="E3" s="1"/>
      <c r="F3" s="1"/>
      <c r="G3" s="27"/>
      <c r="H3" s="1"/>
      <c r="I3" s="1"/>
      <c r="J3" s="1"/>
      <c r="K3" s="1"/>
      <c r="L3" s="1"/>
      <c r="M3" s="1"/>
      <c r="N3" s="1"/>
      <c r="O3" s="1"/>
      <c r="P3" s="1"/>
      <c r="Q3" s="1"/>
      <c r="R3" s="1"/>
      <c r="S3" s="1"/>
      <c r="T3" s="1"/>
      <c r="U3" s="9"/>
      <c r="V3" s="1"/>
      <c r="W3" s="1"/>
      <c r="X3" s="1"/>
      <c r="Y3" s="1"/>
      <c r="Z3" s="1"/>
      <c r="AA3" s="9"/>
      <c r="AB3" s="1"/>
      <c r="AC3" s="1"/>
      <c r="AD3" s="1"/>
      <c r="AE3" s="1"/>
      <c r="AF3" s="1"/>
      <c r="AG3" s="1"/>
      <c r="AH3" s="1"/>
      <c r="AI3" s="1"/>
      <c r="AJ3" s="1"/>
      <c r="AK3" s="1"/>
      <c r="AL3" s="1"/>
      <c r="AM3" s="1"/>
      <c r="AN3" s="1"/>
      <c r="AO3" s="1"/>
      <c r="AP3" s="1"/>
      <c r="AQ3" s="1"/>
      <c r="AR3" s="1"/>
    </row>
    <row r="4" spans="1:44">
      <c r="A4" s="1"/>
      <c r="B4" s="1"/>
      <c r="C4" s="1"/>
      <c r="D4" s="1"/>
      <c r="E4" s="1"/>
      <c r="F4" s="1"/>
      <c r="G4" s="27"/>
      <c r="H4" s="1"/>
      <c r="I4" s="1"/>
      <c r="J4" s="1"/>
      <c r="K4" s="1"/>
      <c r="L4" s="1"/>
      <c r="M4" s="1"/>
      <c r="N4" s="1"/>
      <c r="O4" s="1"/>
      <c r="P4" s="1"/>
      <c r="Q4" s="1"/>
      <c r="R4" s="1"/>
      <c r="S4" s="1"/>
      <c r="T4" s="1"/>
      <c r="U4" s="9"/>
      <c r="V4" s="1"/>
      <c r="W4" s="1"/>
      <c r="X4" s="1"/>
      <c r="Y4" s="1"/>
      <c r="Z4" s="1"/>
      <c r="AA4" s="9"/>
      <c r="AB4" s="1"/>
      <c r="AC4" s="1"/>
      <c r="AD4" s="1"/>
      <c r="AE4" s="1"/>
      <c r="AF4" s="1"/>
      <c r="AG4" s="1"/>
      <c r="AH4" s="1"/>
      <c r="AI4" s="1"/>
      <c r="AJ4" s="1"/>
      <c r="AK4" s="1"/>
      <c r="AL4" s="1"/>
      <c r="AM4" s="1"/>
      <c r="AN4" s="1"/>
      <c r="AO4" s="1"/>
      <c r="AP4" s="1"/>
      <c r="AQ4" s="1"/>
      <c r="AR4" s="1"/>
    </row>
    <row r="5" spans="1:44">
      <c r="A5" s="1"/>
      <c r="B5" s="1"/>
      <c r="C5" s="1"/>
      <c r="D5" s="1"/>
      <c r="E5" s="1"/>
      <c r="F5" s="1"/>
      <c r="G5" s="27"/>
      <c r="H5" s="1"/>
      <c r="I5" s="1"/>
      <c r="J5" s="1"/>
      <c r="K5" s="1"/>
      <c r="L5" s="1"/>
      <c r="M5" s="1"/>
      <c r="N5" s="1"/>
      <c r="O5" s="1"/>
      <c r="P5" s="1"/>
      <c r="Q5" s="1"/>
      <c r="R5" s="1"/>
      <c r="S5" s="1"/>
      <c r="T5" s="1"/>
      <c r="U5" s="9"/>
      <c r="V5" s="1"/>
      <c r="W5" s="1"/>
      <c r="X5" s="1"/>
      <c r="Y5" s="1"/>
      <c r="Z5" s="1"/>
      <c r="AA5" s="9"/>
      <c r="AB5" s="1"/>
      <c r="AC5" s="1"/>
      <c r="AD5" s="1"/>
      <c r="AE5" s="1"/>
      <c r="AF5" s="1"/>
      <c r="AG5" s="1"/>
      <c r="AH5" s="1"/>
      <c r="AI5" s="1"/>
      <c r="AJ5" s="1"/>
      <c r="AK5" s="1"/>
      <c r="AL5" s="1"/>
      <c r="AM5" s="1"/>
      <c r="AN5" s="1"/>
      <c r="AO5" s="1"/>
      <c r="AP5" s="1"/>
      <c r="AQ5" s="1"/>
      <c r="AR5" s="1"/>
    </row>
    <row r="6" spans="1:44">
      <c r="A6" s="1"/>
      <c r="B6" s="1"/>
      <c r="C6" s="1"/>
      <c r="D6" s="1"/>
      <c r="E6" s="1"/>
      <c r="F6" s="1"/>
      <c r="G6" s="27"/>
      <c r="H6" s="1"/>
      <c r="I6" s="1"/>
      <c r="J6" s="1"/>
      <c r="K6" s="1"/>
      <c r="L6" s="1"/>
      <c r="M6" s="1"/>
      <c r="N6" s="1"/>
      <c r="O6" s="1"/>
      <c r="P6" s="1"/>
      <c r="Q6" s="1"/>
      <c r="R6" s="1"/>
      <c r="S6" s="1"/>
      <c r="T6" s="1"/>
      <c r="U6" s="9"/>
      <c r="V6" s="1"/>
      <c r="W6" s="1"/>
      <c r="X6" s="1"/>
      <c r="Y6" s="1"/>
      <c r="Z6" s="1"/>
      <c r="AA6" s="9"/>
      <c r="AB6" s="1"/>
      <c r="AC6" s="1"/>
      <c r="AD6" s="1"/>
      <c r="AE6" s="1"/>
      <c r="AF6" s="1"/>
      <c r="AG6" s="1"/>
      <c r="AH6" s="1"/>
      <c r="AI6" s="1"/>
      <c r="AJ6" s="1"/>
      <c r="AK6" s="1"/>
      <c r="AL6" s="1"/>
      <c r="AM6" s="1"/>
      <c r="AN6" s="1"/>
      <c r="AO6" s="1"/>
      <c r="AP6" s="1"/>
      <c r="AQ6" s="1"/>
      <c r="AR6" s="1"/>
    </row>
    <row r="7" spans="1:44" ht="5.45" customHeight="1">
      <c r="A7" s="1"/>
      <c r="B7" s="1"/>
      <c r="C7" s="1"/>
      <c r="D7" s="1"/>
      <c r="E7" s="1"/>
      <c r="F7" s="1"/>
      <c r="G7" s="27"/>
      <c r="H7" s="1"/>
      <c r="I7" s="1"/>
      <c r="J7" s="1"/>
      <c r="K7" s="1"/>
      <c r="L7" s="1"/>
      <c r="M7" s="1"/>
      <c r="N7" s="1"/>
      <c r="O7" s="1"/>
      <c r="P7" s="1"/>
      <c r="Q7" s="1"/>
      <c r="R7" s="1"/>
      <c r="S7" s="1"/>
      <c r="T7" s="1"/>
      <c r="U7" s="9"/>
      <c r="V7" s="1"/>
      <c r="W7" s="1"/>
      <c r="X7" s="1"/>
      <c r="Y7" s="1"/>
      <c r="Z7" s="1"/>
      <c r="AA7" s="9"/>
      <c r="AB7" s="1"/>
      <c r="AC7" s="1"/>
      <c r="AD7" s="1"/>
      <c r="AE7" s="1"/>
      <c r="AF7" s="1"/>
      <c r="AG7" s="1"/>
      <c r="AH7" s="1"/>
      <c r="AI7" s="1"/>
      <c r="AJ7" s="1"/>
      <c r="AK7" s="1"/>
      <c r="AL7" s="1"/>
      <c r="AM7" s="1"/>
      <c r="AN7" s="1"/>
      <c r="AO7" s="1"/>
      <c r="AP7" s="1"/>
      <c r="AQ7" s="1"/>
      <c r="AR7" s="1"/>
    </row>
    <row r="8" spans="1:44" ht="50.45" hidden="1" customHeight="1">
      <c r="A8" s="1"/>
      <c r="B8" s="1"/>
      <c r="C8" s="1"/>
      <c r="D8" s="1"/>
      <c r="E8" s="1"/>
      <c r="F8" s="1"/>
      <c r="G8" s="27"/>
      <c r="H8" s="1"/>
      <c r="I8" s="1"/>
      <c r="J8" s="1"/>
      <c r="K8" s="1"/>
      <c r="L8" s="1"/>
      <c r="M8" s="1"/>
      <c r="N8" s="1"/>
      <c r="O8" s="1"/>
      <c r="P8" s="1"/>
      <c r="Q8" s="1"/>
      <c r="R8" s="1"/>
      <c r="S8" s="1"/>
      <c r="T8" s="1"/>
      <c r="U8" s="9"/>
      <c r="V8" s="1"/>
      <c r="W8" s="1"/>
      <c r="X8" s="1"/>
      <c r="Y8" s="1"/>
      <c r="Z8" s="1"/>
      <c r="AA8" s="9"/>
      <c r="AB8" s="1"/>
      <c r="AC8" s="1"/>
      <c r="AD8" s="1"/>
      <c r="AE8" s="1"/>
      <c r="AF8" s="1"/>
      <c r="AG8" s="1"/>
      <c r="AH8" s="1"/>
      <c r="AI8" s="1"/>
      <c r="AJ8" s="1"/>
      <c r="AK8" s="1"/>
      <c r="AL8" s="1"/>
      <c r="AM8" s="1"/>
      <c r="AN8" s="1"/>
      <c r="AO8" s="1"/>
      <c r="AP8" s="1"/>
      <c r="AQ8" s="1"/>
      <c r="AR8" s="1"/>
    </row>
    <row r="9" spans="1:44" ht="42.75" hidden="1" customHeight="1">
      <c r="A9" s="1"/>
      <c r="B9" s="1"/>
      <c r="C9" s="469" t="s">
        <v>237</v>
      </c>
      <c r="D9" s="470"/>
      <c r="E9" s="470"/>
      <c r="F9" s="470"/>
      <c r="G9" s="470"/>
      <c r="H9" s="470"/>
      <c r="I9" s="470"/>
      <c r="J9" s="470"/>
      <c r="K9" s="470"/>
      <c r="L9" s="470"/>
      <c r="M9" s="470"/>
      <c r="N9" s="470"/>
      <c r="O9" s="470"/>
      <c r="P9" s="470"/>
      <c r="Q9" s="1"/>
      <c r="R9" s="217"/>
      <c r="S9" s="1"/>
      <c r="T9" s="1"/>
      <c r="U9" s="9"/>
      <c r="V9" s="1"/>
      <c r="W9" s="1"/>
      <c r="X9" s="1"/>
      <c r="Y9" s="1"/>
      <c r="Z9" s="1"/>
      <c r="AA9" s="9"/>
      <c r="AB9" s="1"/>
      <c r="AC9" s="1"/>
      <c r="AD9" s="1"/>
      <c r="AE9" s="1"/>
      <c r="AF9" s="1"/>
      <c r="AG9" s="1"/>
      <c r="AH9" s="1"/>
      <c r="AI9" s="1"/>
      <c r="AJ9" s="1"/>
      <c r="AK9" s="1"/>
      <c r="AL9" s="1"/>
      <c r="AM9" s="1"/>
      <c r="AN9" s="1"/>
      <c r="AO9" s="1"/>
      <c r="AP9" s="1"/>
      <c r="AQ9" s="1"/>
      <c r="AR9" s="1"/>
    </row>
    <row r="10" spans="1:44" ht="22.5" customHeight="1">
      <c r="A10" s="1"/>
      <c r="B10" s="5"/>
      <c r="C10" s="11"/>
      <c r="D10" s="13"/>
      <c r="E10" s="13"/>
      <c r="F10" s="13"/>
      <c r="G10" s="30"/>
      <c r="H10" s="13"/>
      <c r="I10" s="13"/>
      <c r="J10" s="13"/>
      <c r="K10" s="13"/>
      <c r="L10" s="13"/>
      <c r="M10" s="13"/>
      <c r="N10" s="13"/>
      <c r="O10" s="13"/>
      <c r="P10" s="13"/>
      <c r="Q10" s="13"/>
      <c r="R10" s="13"/>
      <c r="S10" s="13"/>
      <c r="T10" s="13"/>
      <c r="U10" s="13"/>
      <c r="V10" s="13"/>
      <c r="W10" s="13"/>
      <c r="X10" s="13"/>
      <c r="Y10" s="13"/>
      <c r="Z10" s="13"/>
      <c r="AA10" s="1"/>
      <c r="AB10" s="1"/>
      <c r="AC10" s="1"/>
      <c r="AD10" s="1"/>
      <c r="AE10" s="218"/>
      <c r="AF10" s="1"/>
      <c r="AG10" s="218"/>
      <c r="AH10" s="1"/>
      <c r="AI10" s="1"/>
      <c r="AJ10" s="1"/>
      <c r="AK10" s="1"/>
      <c r="AL10" s="1"/>
      <c r="AM10" s="1"/>
      <c r="AN10" s="1"/>
      <c r="AO10" s="1"/>
      <c r="AP10" s="1"/>
      <c r="AQ10" s="1"/>
      <c r="AR10" s="1"/>
    </row>
    <row r="11" spans="1:44" ht="57.75" customHeight="1">
      <c r="A11" s="1"/>
      <c r="B11" s="5"/>
      <c r="C11" s="467" t="s">
        <v>2066</v>
      </c>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1"/>
      <c r="AB11" s="1"/>
      <c r="AC11" s="1"/>
      <c r="AD11" s="1"/>
      <c r="AE11" s="1"/>
      <c r="AF11" s="1"/>
      <c r="AG11" s="219"/>
      <c r="AH11" s="1"/>
      <c r="AI11" s="1"/>
      <c r="AJ11" s="1"/>
      <c r="AK11" s="1"/>
      <c r="AL11" s="1"/>
      <c r="AM11" s="1"/>
      <c r="AN11" s="1"/>
      <c r="AO11" s="1"/>
      <c r="AP11" s="1"/>
      <c r="AQ11" s="1"/>
      <c r="AR11" s="1"/>
    </row>
    <row r="12" spans="1:44" ht="25.5" customHeight="1">
      <c r="A12" s="1"/>
      <c r="B12" s="5"/>
      <c r="C12" s="465" t="s">
        <v>2119</v>
      </c>
      <c r="D12" s="466"/>
      <c r="E12" s="466"/>
      <c r="F12" s="466"/>
      <c r="G12" s="466"/>
      <c r="H12" s="466"/>
      <c r="I12" s="466"/>
      <c r="J12" s="466"/>
      <c r="K12" s="466"/>
      <c r="L12" s="466"/>
      <c r="M12" s="466"/>
      <c r="N12" s="466"/>
      <c r="O12" s="466"/>
      <c r="P12" s="466"/>
      <c r="Q12" s="466"/>
      <c r="R12" s="466"/>
      <c r="S12" s="466"/>
      <c r="T12" s="466"/>
      <c r="U12" s="466"/>
      <c r="V12" s="466"/>
      <c r="W12" s="466"/>
      <c r="X12" s="466"/>
      <c r="Y12" s="466"/>
      <c r="Z12" s="466"/>
      <c r="AA12" s="1"/>
      <c r="AB12" s="1"/>
      <c r="AC12" s="1"/>
      <c r="AD12" s="1"/>
      <c r="AE12" s="1"/>
      <c r="AF12" s="1"/>
      <c r="AG12" s="219"/>
      <c r="AH12" s="1"/>
      <c r="AI12" s="1"/>
      <c r="AJ12" s="1"/>
      <c r="AK12" s="1"/>
      <c r="AL12" s="1"/>
      <c r="AM12" s="1"/>
      <c r="AN12" s="1"/>
      <c r="AO12" s="1"/>
      <c r="AP12" s="1"/>
      <c r="AQ12" s="1"/>
      <c r="AR12" s="1"/>
    </row>
    <row r="13" spans="1:44" ht="64.5" customHeight="1">
      <c r="A13" s="1"/>
      <c r="B13" s="5"/>
      <c r="C13" s="330"/>
      <c r="D13" s="474" t="s">
        <v>238</v>
      </c>
      <c r="E13" s="475"/>
      <c r="F13" s="475"/>
      <c r="G13" s="475"/>
      <c r="H13" s="475"/>
      <c r="I13" s="475"/>
      <c r="J13" s="475"/>
      <c r="K13" s="475"/>
      <c r="L13" s="475"/>
      <c r="M13" s="475"/>
      <c r="N13" s="475"/>
      <c r="O13" s="475"/>
      <c r="P13" s="475"/>
      <c r="Q13" s="475"/>
      <c r="R13" s="475"/>
      <c r="S13" s="482" t="s">
        <v>1559</v>
      </c>
      <c r="T13" s="482"/>
      <c r="U13" s="486" t="s">
        <v>2118</v>
      </c>
      <c r="V13" s="487"/>
      <c r="W13" s="487"/>
      <c r="X13" s="488"/>
      <c r="Y13" s="484" t="s">
        <v>239</v>
      </c>
      <c r="Z13" s="482"/>
      <c r="AA13" s="1"/>
      <c r="AB13" s="1"/>
      <c r="AC13" s="1"/>
      <c r="AD13" s="1"/>
      <c r="AE13" s="220"/>
      <c r="AF13" s="1"/>
      <c r="AG13" s="220"/>
      <c r="AH13" s="1"/>
      <c r="AI13" s="1"/>
      <c r="AJ13" s="1"/>
      <c r="AK13" s="1"/>
      <c r="AL13" s="1"/>
      <c r="AM13" s="1"/>
      <c r="AN13" s="1"/>
      <c r="AO13" s="1"/>
      <c r="AP13" s="1"/>
      <c r="AQ13" s="1"/>
      <c r="AR13" s="1"/>
    </row>
    <row r="14" spans="1:44" ht="84.95" customHeight="1" thickBot="1">
      <c r="A14" s="1"/>
      <c r="B14" s="1"/>
      <c r="C14" s="476"/>
      <c r="D14" s="472"/>
      <c r="E14" s="473"/>
      <c r="F14" s="458" t="s">
        <v>1569</v>
      </c>
      <c r="G14" s="427"/>
      <c r="H14" s="427"/>
      <c r="I14" s="479"/>
      <c r="J14" s="441" t="s">
        <v>2117</v>
      </c>
      <c r="K14" s="464"/>
      <c r="L14" s="464"/>
      <c r="M14" s="464"/>
      <c r="N14" s="464"/>
      <c r="O14" s="464"/>
      <c r="P14" s="478"/>
      <c r="Q14" s="441" t="s">
        <v>240</v>
      </c>
      <c r="R14" s="464"/>
      <c r="S14" s="483"/>
      <c r="T14" s="483"/>
      <c r="U14" s="480" t="s">
        <v>241</v>
      </c>
      <c r="V14" s="478"/>
      <c r="W14" s="464" t="s">
        <v>242</v>
      </c>
      <c r="X14" s="481"/>
      <c r="Y14" s="485"/>
      <c r="Z14" s="483"/>
      <c r="AA14" s="8"/>
      <c r="AB14" s="1"/>
      <c r="AC14" s="1"/>
      <c r="AD14" s="1"/>
      <c r="AE14" s="471" t="s">
        <v>1567</v>
      </c>
      <c r="AF14" s="471"/>
      <c r="AG14" s="471"/>
      <c r="AH14" s="471"/>
      <c r="AI14" s="471"/>
    </row>
    <row r="15" spans="1:44" s="93" customFormat="1" ht="174.95" customHeight="1">
      <c r="A15" s="92"/>
      <c r="B15" s="92"/>
      <c r="C15" s="477"/>
      <c r="D15" s="208" t="s">
        <v>243</v>
      </c>
      <c r="E15" s="210" t="s">
        <v>2067</v>
      </c>
      <c r="F15" s="208" t="s">
        <v>244</v>
      </c>
      <c r="G15" s="209" t="s">
        <v>1563</v>
      </c>
      <c r="H15" s="208" t="s">
        <v>1568</v>
      </c>
      <c r="I15" s="208" t="s">
        <v>245</v>
      </c>
      <c r="J15" s="210" t="s">
        <v>1562</v>
      </c>
      <c r="K15" s="211" t="s">
        <v>246</v>
      </c>
      <c r="L15" s="208" t="s">
        <v>247</v>
      </c>
      <c r="M15" s="210" t="s">
        <v>1564</v>
      </c>
      <c r="N15" s="208" t="s">
        <v>248</v>
      </c>
      <c r="O15" s="208" t="s">
        <v>249</v>
      </c>
      <c r="P15" s="208" t="s">
        <v>1570</v>
      </c>
      <c r="Q15" s="208" t="s">
        <v>2068</v>
      </c>
      <c r="R15" s="234" t="s">
        <v>250</v>
      </c>
      <c r="S15" s="381" t="s">
        <v>2069</v>
      </c>
      <c r="T15" s="382" t="s">
        <v>2070</v>
      </c>
      <c r="U15" s="383" t="s">
        <v>2071</v>
      </c>
      <c r="V15" s="208" t="s">
        <v>1565</v>
      </c>
      <c r="W15" s="208" t="s">
        <v>251</v>
      </c>
      <c r="X15" s="208" t="s">
        <v>252</v>
      </c>
      <c r="Y15" s="384" t="s">
        <v>2072</v>
      </c>
      <c r="Z15" s="329" t="s">
        <v>1566</v>
      </c>
      <c r="AA15" s="92"/>
      <c r="AB15" s="92"/>
      <c r="AC15" s="92"/>
      <c r="AD15" s="92"/>
      <c r="AE15" s="187" t="s">
        <v>1572</v>
      </c>
      <c r="AF15" s="187" t="s">
        <v>1571</v>
      </c>
      <c r="AG15" s="187" t="s">
        <v>1573</v>
      </c>
      <c r="AH15" s="187" t="s">
        <v>253</v>
      </c>
      <c r="AI15" s="187" t="s">
        <v>254</v>
      </c>
    </row>
    <row r="16" spans="1:44" ht="39" customHeight="1">
      <c r="A16" s="1"/>
      <c r="B16" s="1"/>
      <c r="C16" s="319" t="s">
        <v>1677</v>
      </c>
      <c r="D16" s="320" t="s">
        <v>1678</v>
      </c>
      <c r="E16" s="321" t="s">
        <v>1679</v>
      </c>
      <c r="F16" s="321" t="s">
        <v>1673</v>
      </c>
      <c r="G16" s="321" t="s">
        <v>255</v>
      </c>
      <c r="H16" s="321" t="s">
        <v>1673</v>
      </c>
      <c r="I16" s="321" t="s">
        <v>1673</v>
      </c>
      <c r="J16" s="320" t="s">
        <v>256</v>
      </c>
      <c r="K16" s="320" t="s">
        <v>256</v>
      </c>
      <c r="L16" s="320" t="s">
        <v>256</v>
      </c>
      <c r="M16" s="320" t="s">
        <v>256</v>
      </c>
      <c r="N16" s="320" t="s">
        <v>256</v>
      </c>
      <c r="O16" s="320" t="s">
        <v>256</v>
      </c>
      <c r="P16" s="322" t="s">
        <v>256</v>
      </c>
      <c r="Q16" s="374">
        <v>5799</v>
      </c>
      <c r="R16" s="323" t="s">
        <v>1673</v>
      </c>
      <c r="S16" s="324" t="str">
        <f>IFERROR(IF(AND(AE16&gt;AF16,AG16&gt;AH16),"critique",
 IF(AND(AE16&lt;=AF16,AG16&gt;AH16),"acceptable",
 IF(AND(AE16&gt;AF16,AG16&lt;=AH16),"acceptable",
 IF(AND(AE16&lt;=AF16,AG16&lt;=AH16),"sûr",
 "vérifier la saisie")))),"")</f>
        <v>acceptable</v>
      </c>
      <c r="T16" s="325" t="str">
        <f>IFERROR(IF((Q16&gt;1.25*AI16),"instable",
IF(AND(Q16&lt;=1.25*AI16,Q16&gt;0.75*AI16),"acceptable",
IF((Q16&lt;=AI16),"fluide",
"vérifier la saisie"))),"")</f>
        <v>fluide</v>
      </c>
      <c r="U16" s="326" t="s">
        <v>1673</v>
      </c>
      <c r="V16" s="326" t="s">
        <v>1674</v>
      </c>
      <c r="W16" s="326" t="s">
        <v>1673</v>
      </c>
      <c r="X16" s="327" t="s">
        <v>1673</v>
      </c>
      <c r="Y16" s="288" t="str">
        <f>IF(OR(U16="oui", V16="oui", W16="oui", X16="oui"), "oui", "non")</f>
        <v>oui</v>
      </c>
      <c r="Z16" s="328" t="str">
        <f>IF(OR(S16="critique",T16="instable",Y16="oui"),"élevé",
IF(OR(AND(Y16="non",S16="acceptable",T16="acceptable"),
          AND(Y16="non",S16="acceptable",T16="fluide"),
          AND(Y16="non",S16="sûr",T16="acceptable")),"moyen",
IF(AND(Y16="non",S16="sûr",T16="fluide"),"faible","")))</f>
        <v>élevé</v>
      </c>
      <c r="AA16" s="1"/>
      <c r="AB16" s="1"/>
      <c r="AC16" s="190">
        <f>_xlfn.XLOOKUP(E16&amp;F16&amp;G16&amp;H16&amp;I16&amp;J16&amp;K16&amp;L16&amp;M16&amp;N16&amp;O16&amp;P16,'[2]2.4 wsLookup'!$M$2:$M$96,'[2]2.4 wsLookup'!$N$2:$N$96,"Introuvable")</f>
        <v>1.27E-5</v>
      </c>
      <c r="AD16" s="375">
        <f>_xlfn.XLOOKUP(E16&amp;F16&amp;G16&amp;H16&amp;I16&amp;J16&amp;K16&amp;L16&amp;M16&amp;N16&amp;O16&amp;P16,'[2]2.4 wsLookup'!$M$2:$M$96,'[2]2.4 wsLookup'!$O$2:$O$96,"Introuvable")</f>
        <v>1.1200000000000001</v>
      </c>
      <c r="AE16" s="90">
        <f>AC16*Q16^AD16</f>
        <v>0.20833354446588415</v>
      </c>
      <c r="AF16" s="206">
        <f>_xlfn.XLOOKUP(E16&amp;F16&amp;G16&amp;H16&amp;I16&amp;J16&amp;K16&amp;L16&amp;M16&amp;N16&amp;O16&amp;P16,'[2]2.4 wsLookup'!$M$2:$M$96,'[2]2.4 wsLookup'!$Q$2:$Q$96,"Introuvable")</f>
        <v>1.2077407737518886</v>
      </c>
      <c r="AG16" s="91">
        <f>_xlfn.XLOOKUP(E16&amp;F16&amp;G16&amp;H16&amp;I16&amp;J16&amp;K16&amp;L16&amp;M16&amp;N16&amp;O16&amp;P16,'[2]2.4 wsLookup'!$M$2:$M$96,'[2]2.4 wsLookup'!$P$2:$P$96,"Introuvable")</f>
        <v>5.7000000000000002E-2</v>
      </c>
      <c r="AH16" s="91">
        <f>_xlfn.XLOOKUP(E16&amp;F16&amp;G16&amp;H16&amp;I16&amp;J16&amp;K16&amp;L16&amp;M16&amp;N16&amp;O16&amp;P16,'[2]2.4 wsLookup'!$M$2:$M$96,'[2]2.4 wsLookup'!$R$2:$R$96,"Introuvable")</f>
        <v>5.3249999999999999E-2</v>
      </c>
      <c r="AI16" s="193">
        <f>_xlfn.XLOOKUP(E16&amp;F16&amp;G16&amp;H16&amp;I16&amp;J16&amp;K16&amp;L16&amp;M16&amp;N16&amp;O16&amp;P16,'[2]2.4 wsLookup'!$M$2:$M$96,'[2]2.4 wsLookup'!$S$2:$S$96,"Introuvable")</f>
        <v>14000</v>
      </c>
      <c r="AK16" t="str">
        <f>E16 &amp; "|" &amp; F16 &amp; "|" &amp; G16 &amp; "|" &amp; H16 &amp; "|" &amp; I16 &amp; "|" &amp; J16 &amp; "|" &amp; K16 &amp; "|" &amp; L16 &amp; "|" &amp; M16 &amp; "|" &amp; N16 &amp; "|" &amp; O16 &amp; "|" &amp; P16</f>
        <v>en localité|non|&gt;3|non|non|-|-|-|-|-|-|-</v>
      </c>
      <c r="AO16" t="s">
        <v>1680</v>
      </c>
    </row>
    <row r="17" spans="1:41" ht="39" customHeight="1">
      <c r="A17" s="1"/>
      <c r="B17" s="1"/>
      <c r="C17" s="188" t="s">
        <v>1681</v>
      </c>
      <c r="D17" s="224" t="s">
        <v>1678</v>
      </c>
      <c r="E17" s="225" t="s">
        <v>1679</v>
      </c>
      <c r="F17" s="225" t="s">
        <v>1673</v>
      </c>
      <c r="G17" s="225" t="s">
        <v>257</v>
      </c>
      <c r="H17" s="225" t="s">
        <v>1673</v>
      </c>
      <c r="I17" s="225" t="s">
        <v>1673</v>
      </c>
      <c r="J17" s="320" t="s">
        <v>256</v>
      </c>
      <c r="K17" s="224" t="s">
        <v>256</v>
      </c>
      <c r="L17" s="224" t="s">
        <v>256</v>
      </c>
      <c r="M17" s="224" t="s">
        <v>256</v>
      </c>
      <c r="N17" s="224" t="s">
        <v>256</v>
      </c>
      <c r="O17" s="320" t="s">
        <v>256</v>
      </c>
      <c r="P17" s="226" t="s">
        <v>256</v>
      </c>
      <c r="Q17" s="374">
        <v>14120</v>
      </c>
      <c r="R17" s="323" t="s">
        <v>1673</v>
      </c>
      <c r="S17" s="324" t="str">
        <f t="shared" ref="S17:S80" si="0">IFERROR(IF(AND(AE17&gt;AF17,AG17&gt;AH17),"critique",
 IF(AND(AE17&lt;=AF17,AG17&gt;AH17),"acceptable",
 IF(AND(AE17&gt;AF17,AG17&lt;=AH17),"acceptable",
 IF(AND(AE17&lt;=AF17,AG17&lt;=AH17),"sûr",
 "vérifier la saisie")))),"")</f>
        <v>sûr</v>
      </c>
      <c r="T17" s="325" t="str">
        <f t="shared" ref="T17:T80" si="1">IFERROR(IF((Q17&gt;1.25*AI17),"instable",
IF(AND(Q17&lt;=1.25*AI17,Q17&gt;0.75*AI17),"acceptable",
IF((Q17&lt;=AI17),"fluide",
"vérifier la saisie"))),"")</f>
        <v>acceptable</v>
      </c>
      <c r="U17" s="228" t="s">
        <v>1673</v>
      </c>
      <c r="V17" s="228" t="s">
        <v>1673</v>
      </c>
      <c r="W17" s="228" t="s">
        <v>1673</v>
      </c>
      <c r="X17" s="229" t="s">
        <v>1673</v>
      </c>
      <c r="Y17" s="288" t="str">
        <f t="shared" ref="Y17:Y80" si="2">IF(OR(U17="oui", V17="oui", W17="oui", X17="oui"), "oui", "non")</f>
        <v>non</v>
      </c>
      <c r="Z17" s="328" t="str">
        <f t="shared" ref="Z17:Z80" si="3">IF(OR(S17="critique",T17="instable",Y17="oui"),"élevé",
IF(OR(AND(Y17="non",S17="acceptable",T17="acceptable"),
          AND(Y17="non",S17="acceptable",T17="fluide"),
          AND(Y17="non",S17="sûr",T17="acceptable")),"moyen",
IF(AND(Y17="non",S17="sûr",T17="fluide"),"faible","")))</f>
        <v>moyen</v>
      </c>
      <c r="AA17" s="232"/>
      <c r="AB17" s="1"/>
      <c r="AC17" s="190">
        <f>_xlfn.XLOOKUP(E17&amp;F17&amp;G17&amp;H17&amp;I17&amp;J17&amp;K17&amp;L17&amp;M17&amp;N17&amp;O17&amp;P17,'[2]2.4 wsLookup'!$M$2:$M$96,'[2]2.4 wsLookup'!$N$2:$N$96,"Introuvable")</f>
        <v>8.5699999999999993E-6</v>
      </c>
      <c r="AD17" s="190">
        <f>_xlfn.XLOOKUP(E17&amp;F17&amp;G17&amp;H17&amp;I17&amp;J17&amp;K17&amp;L17&amp;M17&amp;N17&amp;O17&amp;P17,'[2]2.4 wsLookup'!$M$2:$M$96,'[2]2.4 wsLookup'!$O$2:$O$96,"Introuvable")</f>
        <v>1.1200000000000001</v>
      </c>
      <c r="AE17" s="90">
        <f>AC17*Q17^AD17</f>
        <v>0.3808865897053767</v>
      </c>
      <c r="AF17" s="206">
        <f>_xlfn.XLOOKUP(E17&amp;F17&amp;G17&amp;H17&amp;I17&amp;J17&amp;K17&amp;L17&amp;M17&amp;N17&amp;O17&amp;P17,'[2]2.4 wsLookup'!$M$2:$M$96,'[2]2.4 wsLookup'!$Q$2:$Q$96,"Introuvable")</f>
        <v>1.2077407737518886</v>
      </c>
      <c r="AG17" s="91">
        <f>_xlfn.XLOOKUP(E17&amp;F17&amp;G17&amp;H17&amp;I17&amp;J17&amp;K17&amp;L17&amp;M17&amp;N17&amp;O17&amp;P17,'[2]2.4 wsLookup'!$M$2:$M$96,'[2]2.4 wsLookup'!$P$2:$P$96,"Introuvable")</f>
        <v>0.05</v>
      </c>
      <c r="AH17" s="91">
        <f>_xlfn.XLOOKUP(E17&amp;F17&amp;G17&amp;H17&amp;I17&amp;J17&amp;K17&amp;L17&amp;M17&amp;N17&amp;O17&amp;P17,'[2]2.4 wsLookup'!$M$2:$M$96,'[2]2.4 wsLookup'!$R$2:$R$96,"Introuvable")</f>
        <v>5.3249999999999999E-2</v>
      </c>
      <c r="AI17" s="193">
        <f>_xlfn.XLOOKUP(E17&amp;F17&amp;G17&amp;H17&amp;I17&amp;J17&amp;K17&amp;L17&amp;M17&amp;N17&amp;O17&amp;P17,'[2]2.4 wsLookup'!$M$2:$M$96,'[2]2.4 wsLookup'!$S$2:$S$96,"Introuvable")</f>
        <v>12000</v>
      </c>
      <c r="AK17" t="str">
        <f t="shared" ref="AK17:AK80" si="4">E17 &amp; "|" &amp; F17 &amp; "|" &amp; G17 &amp; "|" &amp; H17 &amp; "|" &amp; I17 &amp; "|" &amp; J17 &amp; "|" &amp; K17 &amp; "|" &amp; L17 &amp; "|" &amp; M17 &amp; "|" &amp; N17 &amp; "|" &amp; O17 &amp; "|" &amp; P17</f>
        <v>en localité|non|3|non|non|-|-|-|-|-|-|-</v>
      </c>
      <c r="AO17" t="s">
        <v>1682</v>
      </c>
    </row>
    <row r="18" spans="1:41" ht="39" customHeight="1">
      <c r="A18" s="1"/>
      <c r="B18" s="1"/>
      <c r="C18" s="188" t="s">
        <v>1683</v>
      </c>
      <c r="D18" s="224" t="s">
        <v>1678</v>
      </c>
      <c r="E18" s="225" t="s">
        <v>1679</v>
      </c>
      <c r="F18" s="225" t="s">
        <v>1673</v>
      </c>
      <c r="G18" s="225" t="s">
        <v>257</v>
      </c>
      <c r="H18" s="225" t="s">
        <v>1674</v>
      </c>
      <c r="I18" s="225" t="s">
        <v>1674</v>
      </c>
      <c r="J18" s="320" t="s">
        <v>256</v>
      </c>
      <c r="K18" s="224" t="s">
        <v>256</v>
      </c>
      <c r="L18" s="224" t="s">
        <v>256</v>
      </c>
      <c r="M18" s="224" t="s">
        <v>256</v>
      </c>
      <c r="N18" s="224" t="s">
        <v>256</v>
      </c>
      <c r="O18" s="320" t="s">
        <v>256</v>
      </c>
      <c r="P18" s="226" t="s">
        <v>256</v>
      </c>
      <c r="Q18" s="374">
        <v>13800</v>
      </c>
      <c r="R18" s="323" t="s">
        <v>1673</v>
      </c>
      <c r="S18" s="324" t="str">
        <f t="shared" si="0"/>
        <v>sûr</v>
      </c>
      <c r="T18" s="325" t="str">
        <f t="shared" si="1"/>
        <v>fluide</v>
      </c>
      <c r="U18" s="228" t="s">
        <v>1673</v>
      </c>
      <c r="V18" s="228" t="s">
        <v>1673</v>
      </c>
      <c r="W18" s="228" t="s">
        <v>1673</v>
      </c>
      <c r="X18" s="229" t="s">
        <v>1673</v>
      </c>
      <c r="Y18" s="288" t="str">
        <f t="shared" si="2"/>
        <v>non</v>
      </c>
      <c r="Z18" s="328" t="str">
        <f t="shared" si="3"/>
        <v>faible</v>
      </c>
      <c r="AA18" s="1"/>
      <c r="AB18" s="1"/>
      <c r="AC18" s="190">
        <f>_xlfn.XLOOKUP(E18&amp;F18&amp;G18&amp;H18&amp;I18&amp;J18&amp;K18&amp;L18&amp;M18&amp;N18&amp;O18&amp;P18,'[2]2.4 wsLookup'!$M$2:$M$96,'[2]2.4 wsLookup'!$N$2:$N$96,"Introuvable")</f>
        <v>1.41E-3</v>
      </c>
      <c r="AD18" s="190">
        <f>_xlfn.XLOOKUP(E18&amp;F18&amp;G18&amp;H18&amp;I18&amp;J18&amp;K18&amp;L18&amp;M18&amp;N18&amp;O18&amp;P18,'[2]2.4 wsLookup'!$M$2:$M$96,'[2]2.4 wsLookup'!$O$2:$O$96,"Introuvable")</f>
        <v>0.66</v>
      </c>
      <c r="AE18" s="90">
        <f t="shared" ref="AE18:AE81" si="5">AC18*Q18^AD18</f>
        <v>0.76127104148581548</v>
      </c>
      <c r="AF18" s="206">
        <f>_xlfn.XLOOKUP(E18&amp;F18&amp;G18&amp;H18&amp;I18&amp;J18&amp;K18&amp;L18&amp;M18&amp;N18&amp;O18&amp;P18,'[2]2.4 wsLookup'!$M$2:$M$96,'[2]2.4 wsLookup'!$Q$2:$Q$96,"Introuvable")</f>
        <v>1.2077407737518886</v>
      </c>
      <c r="AG18" s="91">
        <f>_xlfn.XLOOKUP(E18&amp;F18&amp;G18&amp;H18&amp;I18&amp;J18&amp;K18&amp;L18&amp;M18&amp;N18&amp;O18&amp;P18,'[2]2.4 wsLookup'!$M$2:$M$96,'[2]2.4 wsLookup'!$P$2:$P$96,"Introuvable")</f>
        <v>2.8000000000000001E-2</v>
      </c>
      <c r="AH18" s="91">
        <f>_xlfn.XLOOKUP(E18&amp;F18&amp;G18&amp;H18&amp;I18&amp;J18&amp;K18&amp;L18&amp;M18&amp;N18&amp;O18&amp;P18,'[2]2.4 wsLookup'!$M$2:$M$96,'[2]2.4 wsLookup'!$R$2:$R$96,"Introuvable")</f>
        <v>5.3249999999999999E-2</v>
      </c>
      <c r="AI18" s="193">
        <f>_xlfn.XLOOKUP(E18&amp;F18&amp;G18&amp;H18&amp;I18&amp;J18&amp;K18&amp;L18&amp;M18&amp;N18&amp;O18&amp;P18,'[2]2.4 wsLookup'!$M$2:$M$96,'[2]2.4 wsLookup'!$S$2:$S$96,"Introuvable")</f>
        <v>28000</v>
      </c>
      <c r="AK18" t="str">
        <f t="shared" si="4"/>
        <v>en localité|non|3|oui|oui|-|-|-|-|-|-|-</v>
      </c>
      <c r="AO18" t="s">
        <v>1684</v>
      </c>
    </row>
    <row r="19" spans="1:41" ht="39" customHeight="1">
      <c r="A19" s="1"/>
      <c r="B19" s="1"/>
      <c r="C19" s="188" t="s">
        <v>1685</v>
      </c>
      <c r="D19" s="224" t="s">
        <v>1678</v>
      </c>
      <c r="E19" s="225" t="s">
        <v>1679</v>
      </c>
      <c r="F19" s="225" t="s">
        <v>1673</v>
      </c>
      <c r="G19" s="225" t="s">
        <v>257</v>
      </c>
      <c r="H19" s="225" t="s">
        <v>1673</v>
      </c>
      <c r="I19" s="225" t="s">
        <v>1673</v>
      </c>
      <c r="J19" s="320" t="s">
        <v>256</v>
      </c>
      <c r="K19" s="224" t="s">
        <v>256</v>
      </c>
      <c r="L19" s="224" t="s">
        <v>256</v>
      </c>
      <c r="M19" s="224" t="s">
        <v>256</v>
      </c>
      <c r="N19" s="224" t="s">
        <v>256</v>
      </c>
      <c r="O19" s="320" t="s">
        <v>256</v>
      </c>
      <c r="P19" s="226" t="s">
        <v>256</v>
      </c>
      <c r="Q19" s="374">
        <v>12700</v>
      </c>
      <c r="R19" s="323" t="s">
        <v>1673</v>
      </c>
      <c r="S19" s="324" t="str">
        <f t="shared" si="0"/>
        <v>sûr</v>
      </c>
      <c r="T19" s="325" t="str">
        <f t="shared" si="1"/>
        <v>acceptable</v>
      </c>
      <c r="U19" s="228" t="s">
        <v>1673</v>
      </c>
      <c r="V19" s="228" t="s">
        <v>1673</v>
      </c>
      <c r="W19" s="228" t="s">
        <v>1674</v>
      </c>
      <c r="X19" s="229" t="s">
        <v>1673</v>
      </c>
      <c r="Y19" s="288" t="str">
        <f t="shared" si="2"/>
        <v>oui</v>
      </c>
      <c r="Z19" s="328" t="str">
        <f t="shared" si="3"/>
        <v>élevé</v>
      </c>
      <c r="AA19" s="1"/>
      <c r="AB19" s="1"/>
      <c r="AC19" s="190">
        <f>_xlfn.XLOOKUP(E19&amp;F19&amp;G19&amp;H19&amp;I19&amp;J19&amp;K19&amp;L19&amp;M19&amp;N19&amp;O19&amp;P19,'[2]2.4 wsLookup'!$M$2:$M$96,'[2]2.4 wsLookup'!$N$2:$N$96,"Introuvable")</f>
        <v>8.5699999999999993E-6</v>
      </c>
      <c r="AD19" s="190">
        <f>_xlfn.XLOOKUP(E19&amp;F19&amp;G19&amp;H19&amp;I19&amp;J19&amp;K19&amp;L19&amp;M19&amp;N19&amp;O19&amp;P19,'[2]2.4 wsLookup'!$M$2:$M$96,'[2]2.4 wsLookup'!$O$2:$O$96,"Introuvable")</f>
        <v>1.1200000000000001</v>
      </c>
      <c r="AE19" s="90">
        <f t="shared" si="5"/>
        <v>0.33825247996234603</v>
      </c>
      <c r="AF19" s="206">
        <f>_xlfn.XLOOKUP(E19&amp;F19&amp;G19&amp;H19&amp;I19&amp;J19&amp;K19&amp;L19&amp;M19&amp;N19&amp;O19&amp;P19,'[2]2.4 wsLookup'!$M$2:$M$96,'[2]2.4 wsLookup'!$Q$2:$Q$96,"Introuvable")</f>
        <v>1.2077407737518886</v>
      </c>
      <c r="AG19" s="91">
        <f>_xlfn.XLOOKUP(E19&amp;F19&amp;G19&amp;H19&amp;I19&amp;J19&amp;K19&amp;L19&amp;M19&amp;N19&amp;O19&amp;P19,'[2]2.4 wsLookup'!$M$2:$M$96,'[2]2.4 wsLookup'!$P$2:$P$96,"Introuvable")</f>
        <v>0.05</v>
      </c>
      <c r="AH19" s="91">
        <f>_xlfn.XLOOKUP(E19&amp;F19&amp;G19&amp;H19&amp;I19&amp;J19&amp;K19&amp;L19&amp;M19&amp;N19&amp;O19&amp;P19,'[2]2.4 wsLookup'!$M$2:$M$96,'[2]2.4 wsLookup'!$R$2:$R$96,"Introuvable")</f>
        <v>5.3249999999999999E-2</v>
      </c>
      <c r="AI19" s="193">
        <f>_xlfn.XLOOKUP(E19&amp;F19&amp;G19&amp;H19&amp;I19&amp;J19&amp;K19&amp;L19&amp;M19&amp;N19&amp;O19&amp;P19,'[2]2.4 wsLookup'!$M$2:$M$96,'[2]2.4 wsLookup'!$S$2:$S$96,"Introuvable")</f>
        <v>12000</v>
      </c>
      <c r="AK19" t="str">
        <f t="shared" si="4"/>
        <v>en localité|non|3|non|non|-|-|-|-|-|-|-</v>
      </c>
      <c r="AO19" t="s">
        <v>1686</v>
      </c>
    </row>
    <row r="20" spans="1:41" ht="39" customHeight="1">
      <c r="A20" s="1"/>
      <c r="B20" s="1"/>
      <c r="C20" s="188" t="s">
        <v>1687</v>
      </c>
      <c r="D20" s="224" t="s">
        <v>1678</v>
      </c>
      <c r="E20" s="225" t="s">
        <v>1679</v>
      </c>
      <c r="F20" s="225" t="s">
        <v>1673</v>
      </c>
      <c r="G20" s="225" t="s">
        <v>257</v>
      </c>
      <c r="H20" s="225" t="s">
        <v>1673</v>
      </c>
      <c r="I20" s="225" t="s">
        <v>1673</v>
      </c>
      <c r="J20" s="320" t="s">
        <v>256</v>
      </c>
      <c r="K20" s="224" t="s">
        <v>256</v>
      </c>
      <c r="L20" s="224" t="s">
        <v>256</v>
      </c>
      <c r="M20" s="224" t="s">
        <v>256</v>
      </c>
      <c r="N20" s="224" t="s">
        <v>256</v>
      </c>
      <c r="O20" s="320" t="s">
        <v>256</v>
      </c>
      <c r="P20" s="226" t="s">
        <v>256</v>
      </c>
      <c r="Q20" s="374">
        <v>19200</v>
      </c>
      <c r="R20" s="323" t="s">
        <v>1673</v>
      </c>
      <c r="S20" s="324" t="str">
        <f t="shared" si="0"/>
        <v>sûr</v>
      </c>
      <c r="T20" s="325" t="str">
        <f t="shared" si="1"/>
        <v>instable</v>
      </c>
      <c r="U20" s="228" t="s">
        <v>1673</v>
      </c>
      <c r="V20" s="228" t="s">
        <v>1673</v>
      </c>
      <c r="W20" s="228" t="s">
        <v>1673</v>
      </c>
      <c r="X20" s="229" t="s">
        <v>1673</v>
      </c>
      <c r="Y20" s="288" t="str">
        <f t="shared" si="2"/>
        <v>non</v>
      </c>
      <c r="Z20" s="328" t="str">
        <f t="shared" si="3"/>
        <v>élevé</v>
      </c>
      <c r="AA20" s="1"/>
      <c r="AB20" s="1"/>
      <c r="AC20" s="190">
        <f>_xlfn.XLOOKUP(E20&amp;F20&amp;G20&amp;H20&amp;I20&amp;J20&amp;K20&amp;L20&amp;M20&amp;N20&amp;O20&amp;P20,'[2]2.4 wsLookup'!$M$2:$M$96,'[2]2.4 wsLookup'!$N$2:$N$96,"Introuvable")</f>
        <v>8.5699999999999993E-6</v>
      </c>
      <c r="AD20" s="190">
        <f>_xlfn.XLOOKUP(E20&amp;F20&amp;G20&amp;H20&amp;I20&amp;J20&amp;K20&amp;L20&amp;M20&amp;N20&amp;O20&amp;P20,'[2]2.4 wsLookup'!$M$2:$M$96,'[2]2.4 wsLookup'!$O$2:$O$96,"Introuvable")</f>
        <v>1.1200000000000001</v>
      </c>
      <c r="AE20" s="90">
        <f t="shared" si="5"/>
        <v>0.53737591557433173</v>
      </c>
      <c r="AF20" s="206">
        <f>_xlfn.XLOOKUP(E20&amp;F20&amp;G20&amp;H20&amp;I20&amp;J20&amp;K20&amp;L20&amp;M20&amp;N20&amp;O20&amp;P20,'[2]2.4 wsLookup'!$M$2:$M$96,'[2]2.4 wsLookup'!$Q$2:$Q$96,"Introuvable")</f>
        <v>1.2077407737518886</v>
      </c>
      <c r="AG20" s="91">
        <f>_xlfn.XLOOKUP(E20&amp;F20&amp;G20&amp;H20&amp;I20&amp;J20&amp;K20&amp;L20&amp;M20&amp;N20&amp;O20&amp;P20,'[2]2.4 wsLookup'!$M$2:$M$96,'[2]2.4 wsLookup'!$P$2:$P$96,"Introuvable")</f>
        <v>0.05</v>
      </c>
      <c r="AH20" s="91">
        <f>_xlfn.XLOOKUP(E20&amp;F20&amp;G20&amp;H20&amp;I20&amp;J20&amp;K20&amp;L20&amp;M20&amp;N20&amp;O20&amp;P20,'[2]2.4 wsLookup'!$M$2:$M$96,'[2]2.4 wsLookup'!$R$2:$R$96,"Introuvable")</f>
        <v>5.3249999999999999E-2</v>
      </c>
      <c r="AI20" s="193">
        <f>_xlfn.XLOOKUP(E20&amp;F20&amp;G20&amp;H20&amp;I20&amp;J20&amp;K20&amp;L20&amp;M20&amp;N20&amp;O20&amp;P20,'[2]2.4 wsLookup'!$M$2:$M$96,'[2]2.4 wsLookup'!$S$2:$S$96,"Introuvable")</f>
        <v>12000</v>
      </c>
      <c r="AK20" t="str">
        <f t="shared" si="4"/>
        <v>en localité|non|3|non|non|-|-|-|-|-|-|-</v>
      </c>
      <c r="AO20" t="s">
        <v>1688</v>
      </c>
    </row>
    <row r="21" spans="1:41" ht="39" customHeight="1">
      <c r="A21" s="1"/>
      <c r="B21" s="1"/>
      <c r="C21" s="188" t="s">
        <v>1689</v>
      </c>
      <c r="D21" s="224" t="s">
        <v>1678</v>
      </c>
      <c r="E21" s="225" t="s">
        <v>1679</v>
      </c>
      <c r="F21" s="225" t="s">
        <v>1673</v>
      </c>
      <c r="G21" s="225" t="s">
        <v>255</v>
      </c>
      <c r="H21" s="225" t="s">
        <v>1674</v>
      </c>
      <c r="I21" s="225" t="s">
        <v>1673</v>
      </c>
      <c r="J21" s="320" t="s">
        <v>256</v>
      </c>
      <c r="K21" s="224" t="s">
        <v>256</v>
      </c>
      <c r="L21" s="224" t="s">
        <v>256</v>
      </c>
      <c r="M21" s="224" t="s">
        <v>256</v>
      </c>
      <c r="N21" s="224" t="s">
        <v>256</v>
      </c>
      <c r="O21" s="320" t="s">
        <v>256</v>
      </c>
      <c r="P21" s="226" t="s">
        <v>256</v>
      </c>
      <c r="Q21" s="374">
        <v>14033</v>
      </c>
      <c r="R21" s="323" t="s">
        <v>1673</v>
      </c>
      <c r="S21" s="324" t="str">
        <f t="shared" si="0"/>
        <v>sûr</v>
      </c>
      <c r="T21" s="325" t="str">
        <f t="shared" si="1"/>
        <v>fluide</v>
      </c>
      <c r="U21" s="228" t="s">
        <v>1673</v>
      </c>
      <c r="V21" s="228" t="s">
        <v>1673</v>
      </c>
      <c r="W21" s="228" t="s">
        <v>1673</v>
      </c>
      <c r="X21" s="229" t="s">
        <v>1673</v>
      </c>
      <c r="Y21" s="288" t="str">
        <f t="shared" si="2"/>
        <v>non</v>
      </c>
      <c r="Z21" s="328" t="str">
        <f t="shared" si="3"/>
        <v>faible</v>
      </c>
      <c r="AA21" s="1"/>
      <c r="AB21" s="1"/>
      <c r="AC21" s="190">
        <f>_xlfn.XLOOKUP(E21&amp;F21&amp;G21&amp;H21&amp;I21&amp;J21&amp;K21&amp;L21&amp;M21&amp;N21&amp;O21&amp;P21,'[2]2.4 wsLookup'!$M$2:$M$96,'[2]2.4 wsLookup'!$N$2:$N$96,"Introuvable")</f>
        <v>1.09E-3</v>
      </c>
      <c r="AD21" s="190">
        <f>_xlfn.XLOOKUP(E21&amp;F21&amp;G21&amp;H21&amp;I21&amp;J21&amp;K21&amp;L21&amp;M21&amp;N21&amp;O21&amp;P21,'[2]2.4 wsLookup'!$M$2:$M$96,'[2]2.4 wsLookup'!$O$2:$O$96,"Introuvable")</f>
        <v>0.66</v>
      </c>
      <c r="AE21" s="90">
        <f t="shared" si="5"/>
        <v>0.59503956644213873</v>
      </c>
      <c r="AF21" s="206">
        <f>_xlfn.XLOOKUP(E21&amp;F21&amp;G21&amp;H21&amp;I21&amp;J21&amp;K21&amp;L21&amp;M21&amp;N21&amp;O21&amp;P21,'[2]2.4 wsLookup'!$M$2:$M$96,'[2]2.4 wsLookup'!$Q$2:$Q$96,"Introuvable")</f>
        <v>1.2077407737518886</v>
      </c>
      <c r="AG21" s="91">
        <f>_xlfn.XLOOKUP(E21&amp;F21&amp;G21&amp;H21&amp;I21&amp;J21&amp;K21&amp;L21&amp;M21&amp;N21&amp;O21&amp;P21,'[2]2.4 wsLookup'!$M$2:$M$96,'[2]2.4 wsLookup'!$P$2:$P$96,"Introuvable")</f>
        <v>3.7999999999999999E-2</v>
      </c>
      <c r="AH21" s="91">
        <f>_xlfn.XLOOKUP(E21&amp;F21&amp;G21&amp;H21&amp;I21&amp;J21&amp;K21&amp;L21&amp;M21&amp;N21&amp;O21&amp;P21,'[2]2.4 wsLookup'!$M$2:$M$96,'[2]2.4 wsLookup'!$R$2:$R$96,"Introuvable")</f>
        <v>5.3249999999999999E-2</v>
      </c>
      <c r="AI21" s="193">
        <f>_xlfn.XLOOKUP(E21&amp;F21&amp;G21&amp;H21&amp;I21&amp;J21&amp;K21&amp;L21&amp;M21&amp;N21&amp;O21&amp;P21,'[2]2.4 wsLookup'!$M$2:$M$96,'[2]2.4 wsLookup'!$S$2:$S$96,"Introuvable")</f>
        <v>40000</v>
      </c>
      <c r="AK21" t="str">
        <f t="shared" si="4"/>
        <v>en localité|non|&gt;3|oui|non|-|-|-|-|-|-|-</v>
      </c>
      <c r="AO21" t="s">
        <v>1690</v>
      </c>
    </row>
    <row r="22" spans="1:41" ht="39" customHeight="1">
      <c r="A22" s="1"/>
      <c r="B22" s="1"/>
      <c r="C22" s="188" t="s">
        <v>1691</v>
      </c>
      <c r="D22" s="224" t="s">
        <v>1678</v>
      </c>
      <c r="E22" s="225" t="s">
        <v>1679</v>
      </c>
      <c r="F22" s="225" t="s">
        <v>1674</v>
      </c>
      <c r="G22" s="225" t="s">
        <v>255</v>
      </c>
      <c r="H22" s="225" t="s">
        <v>256</v>
      </c>
      <c r="I22" s="225" t="s">
        <v>1673</v>
      </c>
      <c r="J22" s="320" t="s">
        <v>256</v>
      </c>
      <c r="K22" s="224" t="s">
        <v>256</v>
      </c>
      <c r="L22" s="224" t="s">
        <v>256</v>
      </c>
      <c r="M22" s="224" t="s">
        <v>256</v>
      </c>
      <c r="N22" s="224" t="s">
        <v>256</v>
      </c>
      <c r="O22" s="320" t="s">
        <v>256</v>
      </c>
      <c r="P22" s="226" t="s">
        <v>256</v>
      </c>
      <c r="Q22" s="374">
        <v>7298</v>
      </c>
      <c r="R22" s="323" t="s">
        <v>1673</v>
      </c>
      <c r="S22" s="324" t="str">
        <f t="shared" si="0"/>
        <v>sûr</v>
      </c>
      <c r="T22" s="325" t="str">
        <f t="shared" si="1"/>
        <v>fluide</v>
      </c>
      <c r="U22" s="228" t="s">
        <v>1673</v>
      </c>
      <c r="V22" s="228" t="s">
        <v>1673</v>
      </c>
      <c r="W22" s="228" t="s">
        <v>1673</v>
      </c>
      <c r="X22" s="229" t="s">
        <v>1674</v>
      </c>
      <c r="Y22" s="288" t="str">
        <f t="shared" si="2"/>
        <v>oui</v>
      </c>
      <c r="Z22" s="328" t="str">
        <f t="shared" si="3"/>
        <v>élevé</v>
      </c>
      <c r="AA22" s="1"/>
      <c r="AB22" s="1"/>
      <c r="AC22" s="190">
        <f>_xlfn.XLOOKUP(E22&amp;F22&amp;G22&amp;H22&amp;I22&amp;J22&amp;K22&amp;L22&amp;M22&amp;N22&amp;O22&amp;P22,'[2]2.4 wsLookup'!$M$2:$M$96,'[2]2.4 wsLookup'!$N$2:$N$96,"Introuvable")</f>
        <v>2.0800000000000003E-3</v>
      </c>
      <c r="AD22" s="190">
        <f>_xlfn.XLOOKUP(E22&amp;F22&amp;G22&amp;H22&amp;I22&amp;J22&amp;K22&amp;L22&amp;M22&amp;N22&amp;O22&amp;P22,'[2]2.4 wsLookup'!$M$2:$M$96,'[2]2.4 wsLookup'!$O$2:$O$96,"Introuvable")</f>
        <v>0.59</v>
      </c>
      <c r="AE22" s="90">
        <f t="shared" si="5"/>
        <v>0.39568866705697603</v>
      </c>
      <c r="AF22" s="206">
        <f>_xlfn.XLOOKUP(E22&amp;F22&amp;G22&amp;H22&amp;I22&amp;J22&amp;K22&amp;L22&amp;M22&amp;N22&amp;O22&amp;P22,'[2]2.4 wsLookup'!$M$2:$M$96,'[2]2.4 wsLookup'!$Q$2:$Q$96,"Introuvable")</f>
        <v>1.2077407737518886</v>
      </c>
      <c r="AG22" s="91">
        <f>_xlfn.XLOOKUP(E22&amp;F22&amp;G22&amp;H22&amp;I22&amp;J22&amp;K22&amp;L22&amp;M22&amp;N22&amp;O22&amp;P22,'[2]2.4 wsLookup'!$M$2:$M$96,'[2]2.4 wsLookup'!$P$2:$P$96,"Introuvable")</f>
        <v>5.1999999999999998E-2</v>
      </c>
      <c r="AH22" s="91">
        <f>_xlfn.XLOOKUP(E22&amp;F22&amp;G22&amp;H22&amp;I22&amp;J22&amp;K22&amp;L22&amp;M22&amp;N22&amp;O22&amp;P22,'[2]2.4 wsLookup'!$M$2:$M$96,'[2]2.4 wsLookup'!$R$2:$R$96,"Introuvable")</f>
        <v>5.3249999999999999E-2</v>
      </c>
      <c r="AI22" s="193">
        <f>_xlfn.XLOOKUP(E22&amp;F22&amp;G22&amp;H22&amp;I22&amp;J22&amp;K22&amp;L22&amp;M22&amp;N22&amp;O22&amp;P22,'[2]2.4 wsLookup'!$M$2:$M$96,'[2]2.4 wsLookup'!$S$2:$S$96,"Introuvable")</f>
        <v>27000</v>
      </c>
      <c r="AK22" t="str">
        <f t="shared" si="4"/>
        <v>en localité|oui|&gt;3|-|non|-|-|-|-|-|-|-</v>
      </c>
      <c r="AO22" t="s">
        <v>1692</v>
      </c>
    </row>
    <row r="23" spans="1:41" ht="39" customHeight="1">
      <c r="A23" s="1"/>
      <c r="B23" s="1"/>
      <c r="C23" s="188" t="s">
        <v>1693</v>
      </c>
      <c r="D23" s="224" t="s">
        <v>1678</v>
      </c>
      <c r="E23" s="225" t="s">
        <v>1679</v>
      </c>
      <c r="F23" s="225" t="s">
        <v>1673</v>
      </c>
      <c r="G23" s="225" t="s">
        <v>255</v>
      </c>
      <c r="H23" s="225" t="s">
        <v>1673</v>
      </c>
      <c r="I23" s="225" t="s">
        <v>1674</v>
      </c>
      <c r="J23" s="320" t="s">
        <v>256</v>
      </c>
      <c r="K23" s="224" t="s">
        <v>256</v>
      </c>
      <c r="L23" s="224" t="s">
        <v>256</v>
      </c>
      <c r="M23" s="224" t="s">
        <v>256</v>
      </c>
      <c r="N23" s="224" t="s">
        <v>256</v>
      </c>
      <c r="O23" s="320" t="s">
        <v>256</v>
      </c>
      <c r="P23" s="226" t="s">
        <v>256</v>
      </c>
      <c r="Q23" s="374">
        <v>10229</v>
      </c>
      <c r="R23" s="323" t="s">
        <v>1673</v>
      </c>
      <c r="S23" s="324" t="str">
        <f t="shared" si="0"/>
        <v>acceptable</v>
      </c>
      <c r="T23" s="325" t="str">
        <f t="shared" si="1"/>
        <v>acceptable</v>
      </c>
      <c r="U23" s="228" t="s">
        <v>1673</v>
      </c>
      <c r="V23" s="228" t="s">
        <v>1673</v>
      </c>
      <c r="W23" s="228" t="s">
        <v>1673</v>
      </c>
      <c r="X23" s="229" t="s">
        <v>1673</v>
      </c>
      <c r="Y23" s="288" t="str">
        <f t="shared" si="2"/>
        <v>non</v>
      </c>
      <c r="Z23" s="328" t="str">
        <f t="shared" si="3"/>
        <v>moyen</v>
      </c>
      <c r="AA23" s="1"/>
      <c r="AB23" s="1"/>
      <c r="AC23" s="190">
        <f>_xlfn.XLOOKUP(E23&amp;F23&amp;G23&amp;H23&amp;I23&amp;J23&amp;K23&amp;L23&amp;M23&amp;N23&amp;O23&amp;P23,'[2]2.4 wsLookup'!$M$2:$M$96,'[2]2.4 wsLookup'!$N$2:$N$96,"Introuvable")</f>
        <v>2.3E-5</v>
      </c>
      <c r="AD23" s="190">
        <f>_xlfn.XLOOKUP(E23&amp;F23&amp;G23&amp;H23&amp;I23&amp;J23&amp;K23&amp;L23&amp;M23&amp;N23&amp;O23&amp;P23,'[2]2.4 wsLookup'!$M$2:$M$96,'[2]2.4 wsLookup'!$O$2:$O$96,"Introuvable")</f>
        <v>1.1200000000000001</v>
      </c>
      <c r="AE23" s="90">
        <f t="shared" si="5"/>
        <v>0.71242802656914561</v>
      </c>
      <c r="AF23" s="206">
        <f>_xlfn.XLOOKUP(E23&amp;F23&amp;G23&amp;H23&amp;I23&amp;J23&amp;K23&amp;L23&amp;M23&amp;N23&amp;O23&amp;P23,'[2]2.4 wsLookup'!$M$2:$M$96,'[2]2.4 wsLookup'!$Q$2:$Q$96,"Introuvable")</f>
        <v>1.2077407737518886</v>
      </c>
      <c r="AG23" s="91">
        <f>_xlfn.XLOOKUP(E23&amp;F23&amp;G23&amp;H23&amp;I23&amp;J23&amp;K23&amp;L23&amp;M23&amp;N23&amp;O23&amp;P23,'[2]2.4 wsLookup'!$M$2:$M$96,'[2]2.4 wsLookup'!$P$2:$P$96,"Introuvable")</f>
        <v>5.7000000000000002E-2</v>
      </c>
      <c r="AH23" s="91">
        <f>_xlfn.XLOOKUP(E23&amp;F23&amp;G23&amp;H23&amp;I23&amp;J23&amp;K23&amp;L23&amp;M23&amp;N23&amp;O23&amp;P23,'[2]2.4 wsLookup'!$M$2:$M$96,'[2]2.4 wsLookup'!$R$2:$R$96,"Introuvable")</f>
        <v>5.3249999999999999E-2</v>
      </c>
      <c r="AI23" s="193">
        <f>_xlfn.XLOOKUP(E23&amp;F23&amp;G23&amp;H23&amp;I23&amp;J23&amp;K23&amp;L23&amp;M23&amp;N23&amp;O23&amp;P23,'[2]2.4 wsLookup'!$M$2:$M$96,'[2]2.4 wsLookup'!$S$2:$S$96,"Introuvable")</f>
        <v>12500</v>
      </c>
      <c r="AK23" t="str">
        <f t="shared" si="4"/>
        <v>en localité|non|&gt;3|non|oui|-|-|-|-|-|-|-</v>
      </c>
      <c r="AO23" t="s">
        <v>1694</v>
      </c>
    </row>
    <row r="24" spans="1:41" ht="39" customHeight="1">
      <c r="A24" s="1"/>
      <c r="B24" s="1"/>
      <c r="C24" s="188" t="s">
        <v>1695</v>
      </c>
      <c r="D24" s="224" t="s">
        <v>1678</v>
      </c>
      <c r="E24" s="225" t="s">
        <v>1679</v>
      </c>
      <c r="F24" s="225" t="s">
        <v>1673</v>
      </c>
      <c r="G24" s="225" t="s">
        <v>257</v>
      </c>
      <c r="H24" s="225" t="s">
        <v>1673</v>
      </c>
      <c r="I24" s="225" t="s">
        <v>1673</v>
      </c>
      <c r="J24" s="320" t="s">
        <v>256</v>
      </c>
      <c r="K24" s="224" t="s">
        <v>256</v>
      </c>
      <c r="L24" s="224" t="s">
        <v>256</v>
      </c>
      <c r="M24" s="224" t="s">
        <v>256</v>
      </c>
      <c r="N24" s="224" t="s">
        <v>256</v>
      </c>
      <c r="O24" s="320" t="s">
        <v>256</v>
      </c>
      <c r="P24" s="226" t="s">
        <v>256</v>
      </c>
      <c r="Q24" s="374">
        <v>5681</v>
      </c>
      <c r="R24" s="323" t="s">
        <v>1673</v>
      </c>
      <c r="S24" s="324" t="str">
        <f t="shared" si="0"/>
        <v>sûr</v>
      </c>
      <c r="T24" s="325" t="str">
        <f t="shared" si="1"/>
        <v>fluide</v>
      </c>
      <c r="U24" s="228" t="s">
        <v>1673</v>
      </c>
      <c r="V24" s="228" t="s">
        <v>1673</v>
      </c>
      <c r="W24" s="228" t="s">
        <v>1673</v>
      </c>
      <c r="X24" s="229" t="s">
        <v>1673</v>
      </c>
      <c r="Y24" s="288" t="str">
        <f t="shared" si="2"/>
        <v>non</v>
      </c>
      <c r="Z24" s="328" t="str">
        <f t="shared" si="3"/>
        <v>faible</v>
      </c>
      <c r="AA24" s="1"/>
      <c r="AB24" s="1"/>
      <c r="AC24" s="190">
        <f>_xlfn.XLOOKUP(E24&amp;F24&amp;G24&amp;H24&amp;I24&amp;J24&amp;K24&amp;L24&amp;M24&amp;N24&amp;O24&amp;P24,'[2]2.4 wsLookup'!$M$2:$M$96,'[2]2.4 wsLookup'!$N$2:$N$96,"Introuvable")</f>
        <v>8.5699999999999993E-6</v>
      </c>
      <c r="AD24" s="190">
        <f>_xlfn.XLOOKUP(E24&amp;F24&amp;G24&amp;H24&amp;I24&amp;J24&amp;K24&amp;L24&amp;M24&amp;N24&amp;O24&amp;P24,'[2]2.4 wsLookup'!$M$2:$M$96,'[2]2.4 wsLookup'!$O$2:$O$96,"Introuvable")</f>
        <v>1.1200000000000001</v>
      </c>
      <c r="AE24" s="90">
        <f t="shared" si="5"/>
        <v>0.13738413570935229</v>
      </c>
      <c r="AF24" s="206">
        <f>_xlfn.XLOOKUP(E24&amp;F24&amp;G24&amp;H24&amp;I24&amp;J24&amp;K24&amp;L24&amp;M24&amp;N24&amp;O24&amp;P24,'[2]2.4 wsLookup'!$M$2:$M$96,'[2]2.4 wsLookup'!$Q$2:$Q$96,"Introuvable")</f>
        <v>1.2077407737518886</v>
      </c>
      <c r="AG24" s="91">
        <f>_xlfn.XLOOKUP(E24&amp;F24&amp;G24&amp;H24&amp;I24&amp;J24&amp;K24&amp;L24&amp;M24&amp;N24&amp;O24&amp;P24,'[2]2.4 wsLookup'!$M$2:$M$96,'[2]2.4 wsLookup'!$P$2:$P$96,"Introuvable")</f>
        <v>0.05</v>
      </c>
      <c r="AH24" s="91">
        <f>_xlfn.XLOOKUP(E24&amp;F24&amp;G24&amp;H24&amp;I24&amp;J24&amp;K24&amp;L24&amp;M24&amp;N24&amp;O24&amp;P24,'[2]2.4 wsLookup'!$M$2:$M$96,'[2]2.4 wsLookup'!$R$2:$R$96,"Introuvable")</f>
        <v>5.3249999999999999E-2</v>
      </c>
      <c r="AI24" s="193">
        <f>_xlfn.XLOOKUP(E24&amp;F24&amp;G24&amp;H24&amp;I24&amp;J24&amp;K24&amp;L24&amp;M24&amp;N24&amp;O24&amp;P24,'[2]2.4 wsLookup'!$M$2:$M$96,'[2]2.4 wsLookup'!$S$2:$S$96,"Introuvable")</f>
        <v>12000</v>
      </c>
      <c r="AK24" t="str">
        <f t="shared" si="4"/>
        <v>en localité|non|3|non|non|-|-|-|-|-|-|-</v>
      </c>
      <c r="AO24" t="s">
        <v>1696</v>
      </c>
    </row>
    <row r="25" spans="1:41" ht="39" customHeight="1">
      <c r="A25" s="1"/>
      <c r="B25" s="1"/>
      <c r="C25" s="188" t="s">
        <v>1697</v>
      </c>
      <c r="D25" s="224" t="s">
        <v>1678</v>
      </c>
      <c r="E25" s="225" t="s">
        <v>1679</v>
      </c>
      <c r="F25" s="225" t="s">
        <v>1673</v>
      </c>
      <c r="G25" s="225" t="s">
        <v>257</v>
      </c>
      <c r="H25" s="225" t="s">
        <v>1673</v>
      </c>
      <c r="I25" s="225" t="s">
        <v>1673</v>
      </c>
      <c r="J25" s="320" t="s">
        <v>256</v>
      </c>
      <c r="K25" s="224" t="s">
        <v>256</v>
      </c>
      <c r="L25" s="224" t="s">
        <v>256</v>
      </c>
      <c r="M25" s="224" t="s">
        <v>256</v>
      </c>
      <c r="N25" s="224" t="s">
        <v>256</v>
      </c>
      <c r="O25" s="320" t="s">
        <v>256</v>
      </c>
      <c r="P25" s="226" t="s">
        <v>256</v>
      </c>
      <c r="Q25" s="374">
        <v>9313</v>
      </c>
      <c r="R25" s="323" t="s">
        <v>1673</v>
      </c>
      <c r="S25" s="324" t="str">
        <f t="shared" si="0"/>
        <v>sûr</v>
      </c>
      <c r="T25" s="325" t="str">
        <f t="shared" si="1"/>
        <v>acceptable</v>
      </c>
      <c r="U25" s="228" t="s">
        <v>1673</v>
      </c>
      <c r="V25" s="228" t="s">
        <v>1673</v>
      </c>
      <c r="W25" s="228" t="s">
        <v>1674</v>
      </c>
      <c r="X25" s="229" t="s">
        <v>1673</v>
      </c>
      <c r="Y25" s="288" t="str">
        <f t="shared" si="2"/>
        <v>oui</v>
      </c>
      <c r="Z25" s="328" t="str">
        <f t="shared" si="3"/>
        <v>élevé</v>
      </c>
      <c r="AA25" s="1"/>
      <c r="AB25" s="1"/>
      <c r="AC25" s="190">
        <f>_xlfn.XLOOKUP(E25&amp;F25&amp;G25&amp;H25&amp;I25&amp;J25&amp;K25&amp;L25&amp;M25&amp;N25&amp;O25&amp;P25,'[2]2.4 wsLookup'!$M$2:$M$96,'[2]2.4 wsLookup'!$N$2:$N$96,"Introuvable")</f>
        <v>8.5699999999999993E-6</v>
      </c>
      <c r="AD25" s="190">
        <f>_xlfn.XLOOKUP(E25&amp;F25&amp;G25&amp;H25&amp;I25&amp;J25&amp;K25&amp;L25&amp;M25&amp;N25&amp;O25&amp;P25,'[2]2.4 wsLookup'!$M$2:$M$96,'[2]2.4 wsLookup'!$O$2:$O$96,"Introuvable")</f>
        <v>1.1200000000000001</v>
      </c>
      <c r="AE25" s="90">
        <f t="shared" si="5"/>
        <v>0.23897979113878876</v>
      </c>
      <c r="AF25" s="206">
        <f>_xlfn.XLOOKUP(E25&amp;F25&amp;G25&amp;H25&amp;I25&amp;J25&amp;K25&amp;L25&amp;M25&amp;N25&amp;O25&amp;P25,'[2]2.4 wsLookup'!$M$2:$M$96,'[2]2.4 wsLookup'!$Q$2:$Q$96,"Introuvable")</f>
        <v>1.2077407737518886</v>
      </c>
      <c r="AG25" s="91">
        <f>_xlfn.XLOOKUP(E25&amp;F25&amp;G25&amp;H25&amp;I25&amp;J25&amp;K25&amp;L25&amp;M25&amp;N25&amp;O25&amp;P25,'[2]2.4 wsLookup'!$M$2:$M$96,'[2]2.4 wsLookup'!$P$2:$P$96,"Introuvable")</f>
        <v>0.05</v>
      </c>
      <c r="AH25" s="91">
        <f>_xlfn.XLOOKUP(E25&amp;F25&amp;G25&amp;H25&amp;I25&amp;J25&amp;K25&amp;L25&amp;M25&amp;N25&amp;O25&amp;P25,'[2]2.4 wsLookup'!$M$2:$M$96,'[2]2.4 wsLookup'!$R$2:$R$96,"Introuvable")</f>
        <v>5.3249999999999999E-2</v>
      </c>
      <c r="AI25" s="193">
        <f>_xlfn.XLOOKUP(E25&amp;F25&amp;G25&amp;H25&amp;I25&amp;J25&amp;K25&amp;L25&amp;M25&amp;N25&amp;O25&amp;P25,'[2]2.4 wsLookup'!$M$2:$M$96,'[2]2.4 wsLookup'!$S$2:$S$96,"Introuvable")</f>
        <v>12000</v>
      </c>
      <c r="AK25" t="str">
        <f t="shared" si="4"/>
        <v>en localité|non|3|non|non|-|-|-|-|-|-|-</v>
      </c>
      <c r="AO25" t="s">
        <v>1686</v>
      </c>
    </row>
    <row r="26" spans="1:41" ht="39" customHeight="1">
      <c r="A26" s="1"/>
      <c r="B26" s="1"/>
      <c r="C26" s="188" t="s">
        <v>1698</v>
      </c>
      <c r="D26" s="224" t="s">
        <v>1678</v>
      </c>
      <c r="E26" s="225" t="s">
        <v>1679</v>
      </c>
      <c r="F26" s="225" t="s">
        <v>1673</v>
      </c>
      <c r="G26" s="225" t="s">
        <v>257</v>
      </c>
      <c r="H26" s="225" t="s">
        <v>1673</v>
      </c>
      <c r="I26" s="225" t="s">
        <v>1674</v>
      </c>
      <c r="J26" s="320" t="s">
        <v>256</v>
      </c>
      <c r="K26" s="224" t="s">
        <v>256</v>
      </c>
      <c r="L26" s="224" t="s">
        <v>256</v>
      </c>
      <c r="M26" s="224" t="s">
        <v>256</v>
      </c>
      <c r="N26" s="224" t="s">
        <v>256</v>
      </c>
      <c r="O26" s="320" t="s">
        <v>256</v>
      </c>
      <c r="P26" s="226" t="s">
        <v>256</v>
      </c>
      <c r="Q26" s="374">
        <v>6916</v>
      </c>
      <c r="R26" s="323" t="s">
        <v>1673</v>
      </c>
      <c r="S26" s="324" t="str">
        <f t="shared" si="0"/>
        <v>sûr</v>
      </c>
      <c r="T26" s="325" t="str">
        <f t="shared" si="1"/>
        <v>fluide</v>
      </c>
      <c r="U26" s="228" t="s">
        <v>1673</v>
      </c>
      <c r="V26" s="228" t="s">
        <v>1673</v>
      </c>
      <c r="W26" s="228" t="s">
        <v>1673</v>
      </c>
      <c r="X26" s="229" t="s">
        <v>1673</v>
      </c>
      <c r="Y26" s="288" t="str">
        <f t="shared" si="2"/>
        <v>non</v>
      </c>
      <c r="Z26" s="328" t="str">
        <f t="shared" si="3"/>
        <v>faible</v>
      </c>
      <c r="AA26" s="1"/>
      <c r="AB26" s="1"/>
      <c r="AC26" s="190">
        <f>_xlfn.XLOOKUP(E26&amp;F26&amp;G26&amp;H26&amp;I26&amp;J26&amp;K26&amp;L26&amp;M26&amp;N26&amp;O26&amp;P26,'[2]2.4 wsLookup'!$M$2:$M$96,'[2]2.4 wsLookup'!$N$2:$N$96,"Introuvable")</f>
        <v>1.5600000000000003E-5</v>
      </c>
      <c r="AD26" s="190">
        <f>_xlfn.XLOOKUP(E26&amp;F26&amp;G26&amp;H26&amp;I26&amp;J26&amp;K26&amp;L26&amp;M26&amp;N26&amp;O26&amp;P26,'[2]2.4 wsLookup'!$M$2:$M$96,'[2]2.4 wsLookup'!$O$2:$O$96,"Introuvable")</f>
        <v>1.1200000000000001</v>
      </c>
      <c r="AE26" s="90">
        <f t="shared" si="5"/>
        <v>0.31171821532006588</v>
      </c>
      <c r="AF26" s="206">
        <f>_xlfn.XLOOKUP(E26&amp;F26&amp;G26&amp;H26&amp;I26&amp;J26&amp;K26&amp;L26&amp;M26&amp;N26&amp;O26&amp;P26,'[2]2.4 wsLookup'!$M$2:$M$96,'[2]2.4 wsLookup'!$Q$2:$Q$96,"Introuvable")</f>
        <v>1.2077407737518886</v>
      </c>
      <c r="AG26" s="91">
        <f>_xlfn.XLOOKUP(E26&amp;F26&amp;G26&amp;H26&amp;I26&amp;J26&amp;K26&amp;L26&amp;M26&amp;N26&amp;O26&amp;P26,'[2]2.4 wsLookup'!$M$2:$M$96,'[2]2.4 wsLookup'!$P$2:$P$96,"Introuvable")</f>
        <v>0.05</v>
      </c>
      <c r="AH26" s="91">
        <f>_xlfn.XLOOKUP(E26&amp;F26&amp;G26&amp;H26&amp;I26&amp;J26&amp;K26&amp;L26&amp;M26&amp;N26&amp;O26&amp;P26,'[2]2.4 wsLookup'!$M$2:$M$96,'[2]2.4 wsLookup'!$R$2:$R$96,"Introuvable")</f>
        <v>5.3249999999999999E-2</v>
      </c>
      <c r="AI26" s="193">
        <f>_xlfn.XLOOKUP(E26&amp;F26&amp;G26&amp;H26&amp;I26&amp;J26&amp;K26&amp;L26&amp;M26&amp;N26&amp;O26&amp;P26,'[2]2.4 wsLookup'!$M$2:$M$96,'[2]2.4 wsLookup'!$S$2:$S$96,"Introuvable")</f>
        <v>11000</v>
      </c>
      <c r="AK26" t="str">
        <f t="shared" si="4"/>
        <v>en localité|non|3|non|oui|-|-|-|-|-|-|-</v>
      </c>
      <c r="AO26" t="s">
        <v>1699</v>
      </c>
    </row>
    <row r="27" spans="1:41" ht="39" customHeight="1">
      <c r="A27" s="1"/>
      <c r="B27" s="1"/>
      <c r="C27" s="188" t="s">
        <v>1700</v>
      </c>
      <c r="D27" s="224" t="s">
        <v>1678</v>
      </c>
      <c r="E27" s="225" t="s">
        <v>1679</v>
      </c>
      <c r="F27" s="225" t="s">
        <v>1673</v>
      </c>
      <c r="G27" s="225" t="s">
        <v>257</v>
      </c>
      <c r="H27" s="225" t="s">
        <v>1673</v>
      </c>
      <c r="I27" s="225" t="s">
        <v>1673</v>
      </c>
      <c r="J27" s="320" t="s">
        <v>256</v>
      </c>
      <c r="K27" s="224" t="s">
        <v>256</v>
      </c>
      <c r="L27" s="224" t="s">
        <v>256</v>
      </c>
      <c r="M27" s="224" t="s">
        <v>256</v>
      </c>
      <c r="N27" s="224" t="s">
        <v>256</v>
      </c>
      <c r="O27" s="320" t="s">
        <v>256</v>
      </c>
      <c r="P27" s="226" t="s">
        <v>256</v>
      </c>
      <c r="Q27" s="374">
        <v>7187</v>
      </c>
      <c r="R27" s="323" t="s">
        <v>1673</v>
      </c>
      <c r="S27" s="324" t="str">
        <f t="shared" si="0"/>
        <v>sûr</v>
      </c>
      <c r="T27" s="325" t="str">
        <f t="shared" si="1"/>
        <v>fluide</v>
      </c>
      <c r="U27" s="228" t="s">
        <v>1673</v>
      </c>
      <c r="V27" s="228" t="s">
        <v>1673</v>
      </c>
      <c r="W27" s="228" t="s">
        <v>1673</v>
      </c>
      <c r="X27" s="229" t="s">
        <v>1673</v>
      </c>
      <c r="Y27" s="288" t="str">
        <f t="shared" si="2"/>
        <v>non</v>
      </c>
      <c r="Z27" s="328" t="str">
        <f t="shared" si="3"/>
        <v>faible</v>
      </c>
      <c r="AA27" s="1"/>
      <c r="AB27" s="1"/>
      <c r="AC27" s="190">
        <f>_xlfn.XLOOKUP(E27&amp;F27&amp;G27&amp;H27&amp;I27&amp;J27&amp;K27&amp;L27&amp;M27&amp;N27&amp;O27&amp;P27,'[2]2.4 wsLookup'!$M$2:$M$96,'[2]2.4 wsLookup'!$N$2:$N$96,"Introuvable")</f>
        <v>8.5699999999999993E-6</v>
      </c>
      <c r="AD27" s="190">
        <f>_xlfn.XLOOKUP(E27&amp;F27&amp;G27&amp;H27&amp;I27&amp;J27&amp;K27&amp;L27&amp;M27&amp;N27&amp;O27&amp;P27,'[2]2.4 wsLookup'!$M$2:$M$96,'[2]2.4 wsLookup'!$O$2:$O$96,"Introuvable")</f>
        <v>1.1200000000000001</v>
      </c>
      <c r="AE27" s="90">
        <f t="shared" si="5"/>
        <v>0.17877804514658821</v>
      </c>
      <c r="AF27" s="206">
        <f>_xlfn.XLOOKUP(E27&amp;F27&amp;G27&amp;H27&amp;I27&amp;J27&amp;K27&amp;L27&amp;M27&amp;N27&amp;O27&amp;P27,'[2]2.4 wsLookup'!$M$2:$M$96,'[2]2.4 wsLookup'!$Q$2:$Q$96,"Introuvable")</f>
        <v>1.2077407737518886</v>
      </c>
      <c r="AG27" s="91">
        <f>_xlfn.XLOOKUP(E27&amp;F27&amp;G27&amp;H27&amp;I27&amp;J27&amp;K27&amp;L27&amp;M27&amp;N27&amp;O27&amp;P27,'[2]2.4 wsLookup'!$M$2:$M$96,'[2]2.4 wsLookup'!$P$2:$P$96,"Introuvable")</f>
        <v>0.05</v>
      </c>
      <c r="AH27" s="91">
        <f>_xlfn.XLOOKUP(E27&amp;F27&amp;G27&amp;H27&amp;I27&amp;J27&amp;K27&amp;L27&amp;M27&amp;N27&amp;O27&amp;P27,'[2]2.4 wsLookup'!$M$2:$M$96,'[2]2.4 wsLookup'!$R$2:$R$96,"Introuvable")</f>
        <v>5.3249999999999999E-2</v>
      </c>
      <c r="AI27" s="193">
        <f>_xlfn.XLOOKUP(E27&amp;F27&amp;G27&amp;H27&amp;I27&amp;J27&amp;K27&amp;L27&amp;M27&amp;N27&amp;O27&amp;P27,'[2]2.4 wsLookup'!$M$2:$M$96,'[2]2.4 wsLookup'!$S$2:$S$96,"Introuvable")</f>
        <v>12000</v>
      </c>
      <c r="AK27" t="str">
        <f t="shared" si="4"/>
        <v>en localité|non|3|non|non|-|-|-|-|-|-|-</v>
      </c>
      <c r="AO27" t="s">
        <v>1696</v>
      </c>
    </row>
    <row r="28" spans="1:41" ht="39" customHeight="1">
      <c r="A28" s="1"/>
      <c r="B28" s="1"/>
      <c r="C28" s="188" t="s">
        <v>1701</v>
      </c>
      <c r="D28" s="224" t="s">
        <v>1678</v>
      </c>
      <c r="E28" s="225" t="s">
        <v>1679</v>
      </c>
      <c r="F28" s="225" t="s">
        <v>1673</v>
      </c>
      <c r="G28" s="225" t="s">
        <v>257</v>
      </c>
      <c r="H28" s="225" t="s">
        <v>1673</v>
      </c>
      <c r="I28" s="225" t="s">
        <v>1673</v>
      </c>
      <c r="J28" s="320" t="s">
        <v>256</v>
      </c>
      <c r="K28" s="224" t="s">
        <v>256</v>
      </c>
      <c r="L28" s="224" t="s">
        <v>256</v>
      </c>
      <c r="M28" s="224" t="s">
        <v>256</v>
      </c>
      <c r="N28" s="224" t="s">
        <v>256</v>
      </c>
      <c r="O28" s="320" t="s">
        <v>256</v>
      </c>
      <c r="P28" s="226" t="s">
        <v>256</v>
      </c>
      <c r="Q28" s="374">
        <v>18586</v>
      </c>
      <c r="R28" s="323" t="s">
        <v>1673</v>
      </c>
      <c r="S28" s="324" t="str">
        <f t="shared" si="0"/>
        <v>sûr</v>
      </c>
      <c r="T28" s="325" t="str">
        <f t="shared" si="1"/>
        <v>instable</v>
      </c>
      <c r="U28" s="228" t="s">
        <v>1673</v>
      </c>
      <c r="V28" s="228" t="s">
        <v>1674</v>
      </c>
      <c r="W28" s="228" t="s">
        <v>1673</v>
      </c>
      <c r="X28" s="229" t="s">
        <v>1673</v>
      </c>
      <c r="Y28" s="288" t="str">
        <f t="shared" si="2"/>
        <v>oui</v>
      </c>
      <c r="Z28" s="328" t="str">
        <f t="shared" si="3"/>
        <v>élevé</v>
      </c>
      <c r="AA28" s="1"/>
      <c r="AB28" s="1"/>
      <c r="AC28" s="190">
        <f>_xlfn.XLOOKUP(E28&amp;F28&amp;G28&amp;H28&amp;I28&amp;J28&amp;K28&amp;L28&amp;M28&amp;N28&amp;O28&amp;P28,'[2]2.4 wsLookup'!$M$2:$M$96,'[2]2.4 wsLookup'!$N$2:$N$96,"Introuvable")</f>
        <v>8.5699999999999993E-6</v>
      </c>
      <c r="AD28" s="190">
        <f>_xlfn.XLOOKUP(E28&amp;F28&amp;G28&amp;H28&amp;I28&amp;J28&amp;K28&amp;L28&amp;M28&amp;N28&amp;O28&amp;P28,'[2]2.4 wsLookup'!$M$2:$M$96,'[2]2.4 wsLookup'!$O$2:$O$96,"Introuvable")</f>
        <v>1.1200000000000001</v>
      </c>
      <c r="AE28" s="90">
        <f t="shared" si="5"/>
        <v>0.51816618347036736</v>
      </c>
      <c r="AF28" s="206">
        <f>_xlfn.XLOOKUP(E28&amp;F28&amp;G28&amp;H28&amp;I28&amp;J28&amp;K28&amp;L28&amp;M28&amp;N28&amp;O28&amp;P28,'[2]2.4 wsLookup'!$M$2:$M$96,'[2]2.4 wsLookup'!$Q$2:$Q$96,"Introuvable")</f>
        <v>1.2077407737518886</v>
      </c>
      <c r="AG28" s="91">
        <f>_xlfn.XLOOKUP(E28&amp;F28&amp;G28&amp;H28&amp;I28&amp;J28&amp;K28&amp;L28&amp;M28&amp;N28&amp;O28&amp;P28,'[2]2.4 wsLookup'!$M$2:$M$96,'[2]2.4 wsLookup'!$P$2:$P$96,"Introuvable")</f>
        <v>0.05</v>
      </c>
      <c r="AH28" s="91">
        <f>_xlfn.XLOOKUP(E28&amp;F28&amp;G28&amp;H28&amp;I28&amp;J28&amp;K28&amp;L28&amp;M28&amp;N28&amp;O28&amp;P28,'[2]2.4 wsLookup'!$M$2:$M$96,'[2]2.4 wsLookup'!$R$2:$R$96,"Introuvable")</f>
        <v>5.3249999999999999E-2</v>
      </c>
      <c r="AI28" s="193">
        <f>_xlfn.XLOOKUP(E28&amp;F28&amp;G28&amp;H28&amp;I28&amp;J28&amp;K28&amp;L28&amp;M28&amp;N28&amp;O28&amp;P28,'[2]2.4 wsLookup'!$M$2:$M$96,'[2]2.4 wsLookup'!$S$2:$S$96,"Introuvable")</f>
        <v>12000</v>
      </c>
      <c r="AK28" t="str">
        <f t="shared" si="4"/>
        <v>en localité|non|3|non|non|-|-|-|-|-|-|-</v>
      </c>
      <c r="AO28" t="s">
        <v>1702</v>
      </c>
    </row>
    <row r="29" spans="1:41" ht="39" customHeight="1">
      <c r="A29" s="1"/>
      <c r="B29" s="1"/>
      <c r="C29" s="188" t="s">
        <v>1703</v>
      </c>
      <c r="D29" s="224" t="s">
        <v>1678</v>
      </c>
      <c r="E29" s="225" t="s">
        <v>1679</v>
      </c>
      <c r="F29" s="225" t="s">
        <v>1673</v>
      </c>
      <c r="G29" s="225" t="s">
        <v>257</v>
      </c>
      <c r="H29" s="225" t="s">
        <v>1674</v>
      </c>
      <c r="I29" s="225" t="s">
        <v>1674</v>
      </c>
      <c r="J29" s="320" t="s">
        <v>256</v>
      </c>
      <c r="K29" s="224" t="s">
        <v>256</v>
      </c>
      <c r="L29" s="224" t="s">
        <v>256</v>
      </c>
      <c r="M29" s="224" t="s">
        <v>256</v>
      </c>
      <c r="N29" s="224" t="s">
        <v>256</v>
      </c>
      <c r="O29" s="320" t="s">
        <v>256</v>
      </c>
      <c r="P29" s="226" t="s">
        <v>256</v>
      </c>
      <c r="Q29" s="374">
        <v>12951</v>
      </c>
      <c r="R29" s="323" t="s">
        <v>1673</v>
      </c>
      <c r="S29" s="324" t="str">
        <f t="shared" si="0"/>
        <v>sûr</v>
      </c>
      <c r="T29" s="325" t="str">
        <f t="shared" si="1"/>
        <v>fluide</v>
      </c>
      <c r="U29" s="228" t="s">
        <v>1673</v>
      </c>
      <c r="V29" s="228" t="s">
        <v>1673</v>
      </c>
      <c r="W29" s="228" t="s">
        <v>1673</v>
      </c>
      <c r="X29" s="229" t="s">
        <v>1673</v>
      </c>
      <c r="Y29" s="288" t="str">
        <f t="shared" si="2"/>
        <v>non</v>
      </c>
      <c r="Z29" s="328" t="str">
        <f t="shared" si="3"/>
        <v>faible</v>
      </c>
      <c r="AA29" s="1"/>
      <c r="AB29" s="1"/>
      <c r="AC29" s="190">
        <f>_xlfn.XLOOKUP(E29&amp;F29&amp;G29&amp;H29&amp;I29&amp;J29&amp;K29&amp;L29&amp;M29&amp;N29&amp;O29&amp;P29,'[2]2.4 wsLookup'!$M$2:$M$96,'[2]2.4 wsLookup'!$N$2:$N$96,"Introuvable")</f>
        <v>1.41E-3</v>
      </c>
      <c r="AD29" s="190">
        <f>_xlfn.XLOOKUP(E29&amp;F29&amp;G29&amp;H29&amp;I29&amp;J29&amp;K29&amp;L29&amp;M29&amp;N29&amp;O29&amp;P29,'[2]2.4 wsLookup'!$M$2:$M$96,'[2]2.4 wsLookup'!$O$2:$O$96,"Introuvable")</f>
        <v>0.66</v>
      </c>
      <c r="AE29" s="90">
        <f t="shared" si="5"/>
        <v>0.73002762214227923</v>
      </c>
      <c r="AF29" s="206">
        <f>_xlfn.XLOOKUP(E29&amp;F29&amp;G29&amp;H29&amp;I29&amp;J29&amp;K29&amp;L29&amp;M29&amp;N29&amp;O29&amp;P29,'[2]2.4 wsLookup'!$M$2:$M$96,'[2]2.4 wsLookup'!$Q$2:$Q$96,"Introuvable")</f>
        <v>1.2077407737518886</v>
      </c>
      <c r="AG29" s="91">
        <f>_xlfn.XLOOKUP(E29&amp;F29&amp;G29&amp;H29&amp;I29&amp;J29&amp;K29&amp;L29&amp;M29&amp;N29&amp;O29&amp;P29,'[2]2.4 wsLookup'!$M$2:$M$96,'[2]2.4 wsLookup'!$P$2:$P$96,"Introuvable")</f>
        <v>2.8000000000000001E-2</v>
      </c>
      <c r="AH29" s="91">
        <f>_xlfn.XLOOKUP(E29&amp;F29&amp;G29&amp;H29&amp;I29&amp;J29&amp;K29&amp;L29&amp;M29&amp;N29&amp;O29&amp;P29,'[2]2.4 wsLookup'!$M$2:$M$96,'[2]2.4 wsLookup'!$R$2:$R$96,"Introuvable")</f>
        <v>5.3249999999999999E-2</v>
      </c>
      <c r="AI29" s="193">
        <f>_xlfn.XLOOKUP(E29&amp;F29&amp;G29&amp;H29&amp;I29&amp;J29&amp;K29&amp;L29&amp;M29&amp;N29&amp;O29&amp;P29,'[2]2.4 wsLookup'!$M$2:$M$96,'[2]2.4 wsLookup'!$S$2:$S$96,"Introuvable")</f>
        <v>28000</v>
      </c>
      <c r="AK29" t="str">
        <f t="shared" si="4"/>
        <v>en localité|non|3|oui|oui|-|-|-|-|-|-|-</v>
      </c>
      <c r="AO29" t="s">
        <v>1684</v>
      </c>
    </row>
    <row r="30" spans="1:41" ht="39" customHeight="1">
      <c r="A30" s="1"/>
      <c r="B30" s="1"/>
      <c r="C30" s="188" t="s">
        <v>1704</v>
      </c>
      <c r="D30" s="224" t="s">
        <v>1678</v>
      </c>
      <c r="E30" s="225" t="s">
        <v>1705</v>
      </c>
      <c r="F30" s="225" t="s">
        <v>1673</v>
      </c>
      <c r="G30" s="225" t="s">
        <v>257</v>
      </c>
      <c r="H30" s="225" t="s">
        <v>1674</v>
      </c>
      <c r="I30" s="225" t="s">
        <v>1674</v>
      </c>
      <c r="J30" s="320" t="s">
        <v>256</v>
      </c>
      <c r="K30" s="224" t="s">
        <v>256</v>
      </c>
      <c r="L30" s="224" t="s">
        <v>256</v>
      </c>
      <c r="M30" s="224" t="s">
        <v>256</v>
      </c>
      <c r="N30" s="224" t="s">
        <v>256</v>
      </c>
      <c r="O30" s="320" t="s">
        <v>256</v>
      </c>
      <c r="P30" s="226" t="s">
        <v>256</v>
      </c>
      <c r="Q30" s="374">
        <v>6824</v>
      </c>
      <c r="R30" s="323" t="s">
        <v>1673</v>
      </c>
      <c r="S30" s="324" t="str">
        <f t="shared" si="0"/>
        <v>sûr</v>
      </c>
      <c r="T30" s="325" t="str">
        <f t="shared" si="1"/>
        <v>fluide</v>
      </c>
      <c r="U30" s="228" t="s">
        <v>1673</v>
      </c>
      <c r="V30" s="228" t="s">
        <v>1673</v>
      </c>
      <c r="W30" s="228" t="s">
        <v>1673</v>
      </c>
      <c r="X30" s="229" t="s">
        <v>1673</v>
      </c>
      <c r="Y30" s="288" t="str">
        <f t="shared" si="2"/>
        <v>non</v>
      </c>
      <c r="Z30" s="328" t="str">
        <f t="shared" si="3"/>
        <v>faible</v>
      </c>
      <c r="AA30" s="1"/>
      <c r="AB30" s="1"/>
      <c r="AC30" s="190">
        <f>_xlfn.XLOOKUP(E30&amp;F30&amp;G30&amp;H30&amp;I30&amp;J30&amp;K30&amp;L30&amp;M30&amp;N30&amp;O30&amp;P30,'[2]2.4 wsLookup'!$M$2:$M$96,'[2]2.4 wsLookup'!$N$2:$N$96,"Introuvable")</f>
        <v>8.3900000000000012E-4</v>
      </c>
      <c r="AD30" s="190">
        <f>_xlfn.XLOOKUP(E30&amp;F30&amp;G30&amp;H30&amp;I30&amp;J30&amp;K30&amp;L30&amp;M30&amp;N30&amp;O30&amp;P30,'[2]2.4 wsLookup'!$M$2:$M$96,'[2]2.4 wsLookup'!$O$2:$O$96,"Introuvable")</f>
        <v>0.63</v>
      </c>
      <c r="AE30" s="90">
        <f t="shared" si="5"/>
        <v>0.21837682239259829</v>
      </c>
      <c r="AF30" s="206">
        <f>_xlfn.XLOOKUP(E30&amp;F30&amp;G30&amp;H30&amp;I30&amp;J30&amp;K30&amp;L30&amp;M30&amp;N30&amp;O30&amp;P30,'[2]2.4 wsLookup'!$M$2:$M$96,'[2]2.4 wsLookup'!$Q$2:$Q$96,"Introuvable")</f>
        <v>1.0193449865833717</v>
      </c>
      <c r="AG30" s="91">
        <f>_xlfn.XLOOKUP(E30&amp;F30&amp;G30&amp;H30&amp;I30&amp;J30&amp;K30&amp;L30&amp;M30&amp;N30&amp;O30&amp;P30,'[2]2.4 wsLookup'!$M$2:$M$96,'[2]2.4 wsLookup'!$P$2:$P$96,"Introuvable")</f>
        <v>2.1999999999999999E-2</v>
      </c>
      <c r="AH30" s="91">
        <f>_xlfn.XLOOKUP(E30&amp;F30&amp;G30&amp;H30&amp;I30&amp;J30&amp;K30&amp;L30&amp;M30&amp;N30&amp;O30&amp;P30,'[2]2.4 wsLookup'!$M$2:$M$96,'[2]2.4 wsLookup'!$R$2:$R$96,"Introuvable")</f>
        <v>5.6250000000000001E-2</v>
      </c>
      <c r="AI30" s="193">
        <f>_xlfn.XLOOKUP(E30&amp;F30&amp;G30&amp;H30&amp;I30&amp;J30&amp;K30&amp;L30&amp;M30&amp;N30&amp;O30&amp;P30,'[2]2.4 wsLookup'!$M$2:$M$96,'[2]2.4 wsLookup'!$S$2:$S$96,"Introuvable")</f>
        <v>40000</v>
      </c>
      <c r="AK30" t="str">
        <f t="shared" si="4"/>
        <v>hors localité|non|3|oui|oui|-|-|-|-|-|-|-</v>
      </c>
      <c r="AO30" t="s">
        <v>1706</v>
      </c>
    </row>
    <row r="31" spans="1:41" ht="39" customHeight="1">
      <c r="A31" s="1"/>
      <c r="B31" s="1"/>
      <c r="C31" s="188" t="s">
        <v>1707</v>
      </c>
      <c r="D31" s="224" t="s">
        <v>1678</v>
      </c>
      <c r="E31" s="225" t="s">
        <v>1679</v>
      </c>
      <c r="F31" s="225" t="s">
        <v>1673</v>
      </c>
      <c r="G31" s="225" t="s">
        <v>257</v>
      </c>
      <c r="H31" s="225" t="s">
        <v>1673</v>
      </c>
      <c r="I31" s="225" t="s">
        <v>1673</v>
      </c>
      <c r="J31" s="320" t="s">
        <v>256</v>
      </c>
      <c r="K31" s="224" t="s">
        <v>256</v>
      </c>
      <c r="L31" s="224" t="s">
        <v>256</v>
      </c>
      <c r="M31" s="224" t="s">
        <v>256</v>
      </c>
      <c r="N31" s="224" t="s">
        <v>256</v>
      </c>
      <c r="O31" s="320" t="s">
        <v>256</v>
      </c>
      <c r="P31" s="226" t="s">
        <v>256</v>
      </c>
      <c r="Q31" s="374">
        <v>13467</v>
      </c>
      <c r="R31" s="323" t="s">
        <v>1673</v>
      </c>
      <c r="S31" s="324" t="str">
        <f t="shared" si="0"/>
        <v>sûr</v>
      </c>
      <c r="T31" s="325" t="str">
        <f t="shared" si="1"/>
        <v>acceptable</v>
      </c>
      <c r="U31" s="228" t="s">
        <v>1673</v>
      </c>
      <c r="V31" s="228" t="s">
        <v>1673</v>
      </c>
      <c r="W31" s="228" t="s">
        <v>1674</v>
      </c>
      <c r="X31" s="229" t="s">
        <v>1673</v>
      </c>
      <c r="Y31" s="288" t="str">
        <f t="shared" si="2"/>
        <v>oui</v>
      </c>
      <c r="Z31" s="328" t="str">
        <f t="shared" si="3"/>
        <v>élevé</v>
      </c>
      <c r="AA31" s="1"/>
      <c r="AB31" s="1"/>
      <c r="AC31" s="190">
        <f>_xlfn.XLOOKUP(E31&amp;F31&amp;G31&amp;H31&amp;I31&amp;J31&amp;K31&amp;L31&amp;M31&amp;N31&amp;O31&amp;P31,'[2]2.4 wsLookup'!$M$2:$M$96,'[2]2.4 wsLookup'!$N$2:$N$96,"Introuvable")</f>
        <v>8.5699999999999993E-6</v>
      </c>
      <c r="AD31" s="190">
        <f>_xlfn.XLOOKUP(E31&amp;F31&amp;G31&amp;H31&amp;I31&amp;J31&amp;K31&amp;L31&amp;M31&amp;N31&amp;O31&amp;P31,'[2]2.4 wsLookup'!$M$2:$M$96,'[2]2.4 wsLookup'!$O$2:$O$96,"Introuvable")</f>
        <v>1.1200000000000001</v>
      </c>
      <c r="AE31" s="90">
        <f t="shared" si="5"/>
        <v>0.36121367631266199</v>
      </c>
      <c r="AF31" s="206">
        <f>_xlfn.XLOOKUP(E31&amp;F31&amp;G31&amp;H31&amp;I31&amp;J31&amp;K31&amp;L31&amp;M31&amp;N31&amp;O31&amp;P31,'[2]2.4 wsLookup'!$M$2:$M$96,'[2]2.4 wsLookup'!$Q$2:$Q$96,"Introuvable")</f>
        <v>1.2077407737518886</v>
      </c>
      <c r="AG31" s="91">
        <f>_xlfn.XLOOKUP(E31&amp;F31&amp;G31&amp;H31&amp;I31&amp;J31&amp;K31&amp;L31&amp;M31&amp;N31&amp;O31&amp;P31,'[2]2.4 wsLookup'!$M$2:$M$96,'[2]2.4 wsLookup'!$P$2:$P$96,"Introuvable")</f>
        <v>0.05</v>
      </c>
      <c r="AH31" s="91">
        <f>_xlfn.XLOOKUP(E31&amp;F31&amp;G31&amp;H31&amp;I31&amp;J31&amp;K31&amp;L31&amp;M31&amp;N31&amp;O31&amp;P31,'[2]2.4 wsLookup'!$M$2:$M$96,'[2]2.4 wsLookup'!$R$2:$R$96,"Introuvable")</f>
        <v>5.3249999999999999E-2</v>
      </c>
      <c r="AI31" s="193">
        <f>_xlfn.XLOOKUP(E31&amp;F31&amp;G31&amp;H31&amp;I31&amp;J31&amp;K31&amp;L31&amp;M31&amp;N31&amp;O31&amp;P31,'[2]2.4 wsLookup'!$M$2:$M$96,'[2]2.4 wsLookup'!$S$2:$S$96,"Introuvable")</f>
        <v>12000</v>
      </c>
      <c r="AK31" t="str">
        <f t="shared" si="4"/>
        <v>en localité|non|3|non|non|-|-|-|-|-|-|-</v>
      </c>
      <c r="AO31" t="s">
        <v>1686</v>
      </c>
    </row>
    <row r="32" spans="1:41" ht="39" customHeight="1">
      <c r="A32" s="1"/>
      <c r="B32" s="1"/>
      <c r="C32" s="188" t="s">
        <v>1708</v>
      </c>
      <c r="D32" s="224" t="s">
        <v>1678</v>
      </c>
      <c r="E32" s="225" t="s">
        <v>1679</v>
      </c>
      <c r="F32" s="225" t="s">
        <v>1673</v>
      </c>
      <c r="G32" s="225" t="s">
        <v>255</v>
      </c>
      <c r="H32" s="225" t="s">
        <v>1674</v>
      </c>
      <c r="I32" s="225" t="s">
        <v>1673</v>
      </c>
      <c r="J32" s="320" t="s">
        <v>256</v>
      </c>
      <c r="K32" s="224" t="s">
        <v>256</v>
      </c>
      <c r="L32" s="224" t="s">
        <v>256</v>
      </c>
      <c r="M32" s="224" t="s">
        <v>256</v>
      </c>
      <c r="N32" s="224" t="s">
        <v>256</v>
      </c>
      <c r="O32" s="320" t="s">
        <v>256</v>
      </c>
      <c r="P32" s="226" t="s">
        <v>256</v>
      </c>
      <c r="Q32" s="374">
        <v>7053</v>
      </c>
      <c r="R32" s="323" t="s">
        <v>1673</v>
      </c>
      <c r="S32" s="324" t="str">
        <f t="shared" si="0"/>
        <v>sûr</v>
      </c>
      <c r="T32" s="325" t="str">
        <f t="shared" si="1"/>
        <v>fluide</v>
      </c>
      <c r="U32" s="228" t="s">
        <v>1673</v>
      </c>
      <c r="V32" s="228" t="s">
        <v>1674</v>
      </c>
      <c r="W32" s="228" t="s">
        <v>1674</v>
      </c>
      <c r="X32" s="229" t="s">
        <v>1673</v>
      </c>
      <c r="Y32" s="288" t="str">
        <f t="shared" si="2"/>
        <v>oui</v>
      </c>
      <c r="Z32" s="328" t="str">
        <f t="shared" si="3"/>
        <v>élevé</v>
      </c>
      <c r="AA32" s="1"/>
      <c r="AB32" s="1"/>
      <c r="AC32" s="190">
        <f>_xlfn.XLOOKUP(E32&amp;F32&amp;G32&amp;H32&amp;I32&amp;J32&amp;K32&amp;L32&amp;M32&amp;N32&amp;O32&amp;P32,'[2]2.4 wsLookup'!$M$2:$M$96,'[2]2.4 wsLookup'!$N$2:$N$96,"Introuvable")</f>
        <v>1.09E-3</v>
      </c>
      <c r="AD32" s="190">
        <f>_xlfn.XLOOKUP(E32&amp;F32&amp;G32&amp;H32&amp;I32&amp;J32&amp;K32&amp;L32&amp;M32&amp;N32&amp;O32&amp;P32,'[2]2.4 wsLookup'!$M$2:$M$96,'[2]2.4 wsLookup'!$O$2:$O$96,"Introuvable")</f>
        <v>0.66</v>
      </c>
      <c r="AE32" s="90">
        <f t="shared" si="5"/>
        <v>0.37787943843201116</v>
      </c>
      <c r="AF32" s="206">
        <f>_xlfn.XLOOKUP(E32&amp;F32&amp;G32&amp;H32&amp;I32&amp;J32&amp;K32&amp;L32&amp;M32&amp;N32&amp;O32&amp;P32,'[2]2.4 wsLookup'!$M$2:$M$96,'[2]2.4 wsLookup'!$Q$2:$Q$96,"Introuvable")</f>
        <v>1.2077407737518886</v>
      </c>
      <c r="AG32" s="91">
        <f>_xlfn.XLOOKUP(E32&amp;F32&amp;G32&amp;H32&amp;I32&amp;J32&amp;K32&amp;L32&amp;M32&amp;N32&amp;O32&amp;P32,'[2]2.4 wsLookup'!$M$2:$M$96,'[2]2.4 wsLookup'!$P$2:$P$96,"Introuvable")</f>
        <v>3.7999999999999999E-2</v>
      </c>
      <c r="AH32" s="91">
        <f>_xlfn.XLOOKUP(E32&amp;F32&amp;G32&amp;H32&amp;I32&amp;J32&amp;K32&amp;L32&amp;M32&amp;N32&amp;O32&amp;P32,'[2]2.4 wsLookup'!$M$2:$M$96,'[2]2.4 wsLookup'!$R$2:$R$96,"Introuvable")</f>
        <v>5.3249999999999999E-2</v>
      </c>
      <c r="AI32" s="193">
        <f>_xlfn.XLOOKUP(E32&amp;F32&amp;G32&amp;H32&amp;I32&amp;J32&amp;K32&amp;L32&amp;M32&amp;N32&amp;O32&amp;P32,'[2]2.4 wsLookup'!$M$2:$M$96,'[2]2.4 wsLookup'!$S$2:$S$96,"Introuvable")</f>
        <v>40000</v>
      </c>
      <c r="AK32" t="str">
        <f t="shared" si="4"/>
        <v>en localité|non|&gt;3|oui|non|-|-|-|-|-|-|-</v>
      </c>
      <c r="AO32" t="s">
        <v>1709</v>
      </c>
    </row>
    <row r="33" spans="1:41" ht="39" customHeight="1">
      <c r="A33" s="1"/>
      <c r="B33" s="1"/>
      <c r="C33" s="188" t="s">
        <v>1710</v>
      </c>
      <c r="D33" s="224" t="s">
        <v>1678</v>
      </c>
      <c r="E33" s="225" t="s">
        <v>1679</v>
      </c>
      <c r="F33" s="225" t="s">
        <v>1673</v>
      </c>
      <c r="G33" s="225" t="s">
        <v>257</v>
      </c>
      <c r="H33" s="225" t="s">
        <v>1673</v>
      </c>
      <c r="I33" s="225" t="s">
        <v>1673</v>
      </c>
      <c r="J33" s="320" t="s">
        <v>256</v>
      </c>
      <c r="K33" s="224" t="s">
        <v>256</v>
      </c>
      <c r="L33" s="224" t="s">
        <v>256</v>
      </c>
      <c r="M33" s="224" t="s">
        <v>256</v>
      </c>
      <c r="N33" s="224" t="s">
        <v>256</v>
      </c>
      <c r="O33" s="320" t="s">
        <v>256</v>
      </c>
      <c r="P33" s="226" t="s">
        <v>256</v>
      </c>
      <c r="Q33" s="374">
        <v>6553</v>
      </c>
      <c r="R33" s="323" t="s">
        <v>1673</v>
      </c>
      <c r="S33" s="324" t="str">
        <f t="shared" si="0"/>
        <v>sûr</v>
      </c>
      <c r="T33" s="325" t="str">
        <f t="shared" si="1"/>
        <v>fluide</v>
      </c>
      <c r="U33" s="228" t="s">
        <v>1673</v>
      </c>
      <c r="V33" s="228" t="s">
        <v>1673</v>
      </c>
      <c r="W33" s="228" t="s">
        <v>1673</v>
      </c>
      <c r="X33" s="229" t="s">
        <v>1673</v>
      </c>
      <c r="Y33" s="288" t="str">
        <f t="shared" si="2"/>
        <v>non</v>
      </c>
      <c r="Z33" s="328" t="str">
        <f t="shared" si="3"/>
        <v>faible</v>
      </c>
      <c r="AA33" s="1"/>
      <c r="AB33" s="1"/>
      <c r="AC33" s="190">
        <f>_xlfn.XLOOKUP(E33&amp;F33&amp;G33&amp;H33&amp;I33&amp;J33&amp;K33&amp;L33&amp;M33&amp;N33&amp;O33&amp;P33,'[2]2.4 wsLookup'!$M$2:$M$96,'[2]2.4 wsLookup'!$N$2:$N$96,"Introuvable")</f>
        <v>8.5699999999999993E-6</v>
      </c>
      <c r="AD33" s="190">
        <f>_xlfn.XLOOKUP(E33&amp;F33&amp;G33&amp;H33&amp;I33&amp;J33&amp;K33&amp;L33&amp;M33&amp;N33&amp;O33&amp;P33,'[2]2.4 wsLookup'!$M$2:$M$96,'[2]2.4 wsLookup'!$O$2:$O$96,"Introuvable")</f>
        <v>1.1200000000000001</v>
      </c>
      <c r="AE33" s="90">
        <f t="shared" si="5"/>
        <v>0.16121068005999681</v>
      </c>
      <c r="AF33" s="206">
        <f>_xlfn.XLOOKUP(E33&amp;F33&amp;G33&amp;H33&amp;I33&amp;J33&amp;K33&amp;L33&amp;M33&amp;N33&amp;O33&amp;P33,'[2]2.4 wsLookup'!$M$2:$M$96,'[2]2.4 wsLookup'!$Q$2:$Q$96,"Introuvable")</f>
        <v>1.2077407737518886</v>
      </c>
      <c r="AG33" s="91">
        <f>_xlfn.XLOOKUP(E33&amp;F33&amp;G33&amp;H33&amp;I33&amp;J33&amp;K33&amp;L33&amp;M33&amp;N33&amp;O33&amp;P33,'[2]2.4 wsLookup'!$M$2:$M$96,'[2]2.4 wsLookup'!$P$2:$P$96,"Introuvable")</f>
        <v>0.05</v>
      </c>
      <c r="AH33" s="91">
        <f>_xlfn.XLOOKUP(E33&amp;F33&amp;G33&amp;H33&amp;I33&amp;J33&amp;K33&amp;L33&amp;M33&amp;N33&amp;O33&amp;P33,'[2]2.4 wsLookup'!$M$2:$M$96,'[2]2.4 wsLookup'!$R$2:$R$96,"Introuvable")</f>
        <v>5.3249999999999999E-2</v>
      </c>
      <c r="AI33" s="193">
        <f>_xlfn.XLOOKUP(E33&amp;F33&amp;G33&amp;H33&amp;I33&amp;J33&amp;K33&amp;L33&amp;M33&amp;N33&amp;O33&amp;P33,'[2]2.4 wsLookup'!$M$2:$M$96,'[2]2.4 wsLookup'!$S$2:$S$96,"Introuvable")</f>
        <v>12000</v>
      </c>
      <c r="AK33" t="str">
        <f t="shared" si="4"/>
        <v>en localité|non|3|non|non|-|-|-|-|-|-|-</v>
      </c>
      <c r="AO33" t="s">
        <v>1696</v>
      </c>
    </row>
    <row r="34" spans="1:41" ht="39" customHeight="1">
      <c r="A34" s="1"/>
      <c r="B34" s="1"/>
      <c r="C34" s="188" t="s">
        <v>1711</v>
      </c>
      <c r="D34" s="224" t="s">
        <v>1678</v>
      </c>
      <c r="E34" s="225" t="s">
        <v>1679</v>
      </c>
      <c r="F34" s="225" t="s">
        <v>1673</v>
      </c>
      <c r="G34" s="225" t="s">
        <v>257</v>
      </c>
      <c r="H34" s="225" t="s">
        <v>1673</v>
      </c>
      <c r="I34" s="225" t="s">
        <v>1673</v>
      </c>
      <c r="J34" s="320" t="s">
        <v>256</v>
      </c>
      <c r="K34" s="224" t="s">
        <v>256</v>
      </c>
      <c r="L34" s="224" t="s">
        <v>256</v>
      </c>
      <c r="M34" s="224" t="s">
        <v>256</v>
      </c>
      <c r="N34" s="224" t="s">
        <v>256</v>
      </c>
      <c r="O34" s="320" t="s">
        <v>256</v>
      </c>
      <c r="P34" s="226" t="s">
        <v>256</v>
      </c>
      <c r="Q34" s="374">
        <v>9077</v>
      </c>
      <c r="R34" s="323" t="s">
        <v>1673</v>
      </c>
      <c r="S34" s="324" t="str">
        <f t="shared" si="0"/>
        <v>sûr</v>
      </c>
      <c r="T34" s="325" t="str">
        <f t="shared" si="1"/>
        <v>acceptable</v>
      </c>
      <c r="U34" s="228" t="s">
        <v>1673</v>
      </c>
      <c r="V34" s="228" t="s">
        <v>1673</v>
      </c>
      <c r="W34" s="228" t="s">
        <v>1673</v>
      </c>
      <c r="X34" s="229" t="s">
        <v>1673</v>
      </c>
      <c r="Y34" s="288" t="str">
        <f t="shared" si="2"/>
        <v>non</v>
      </c>
      <c r="Z34" s="328" t="str">
        <f t="shared" si="3"/>
        <v>moyen</v>
      </c>
      <c r="AA34" s="1"/>
      <c r="AB34" s="1"/>
      <c r="AC34" s="190">
        <f>_xlfn.XLOOKUP(E34&amp;F34&amp;G34&amp;H34&amp;I34&amp;J34&amp;K34&amp;L34&amp;M34&amp;N34&amp;O34&amp;P34,'[2]2.4 wsLookup'!$M$2:$M$96,'[2]2.4 wsLookup'!$N$2:$N$96,"Introuvable")</f>
        <v>8.5699999999999993E-6</v>
      </c>
      <c r="AD34" s="190">
        <f>_xlfn.XLOOKUP(E34&amp;F34&amp;G34&amp;H34&amp;I34&amp;J34&amp;K34&amp;L34&amp;M34&amp;N34&amp;O34&amp;P34,'[2]2.4 wsLookup'!$M$2:$M$96,'[2]2.4 wsLookup'!$O$2:$O$96,"Introuvable")</f>
        <v>1.1200000000000001</v>
      </c>
      <c r="AE34" s="90">
        <f t="shared" si="5"/>
        <v>0.23220749724453441</v>
      </c>
      <c r="AF34" s="206">
        <f>_xlfn.XLOOKUP(E34&amp;F34&amp;G34&amp;H34&amp;I34&amp;J34&amp;K34&amp;L34&amp;M34&amp;N34&amp;O34&amp;P34,'[2]2.4 wsLookup'!$M$2:$M$96,'[2]2.4 wsLookup'!$Q$2:$Q$96,"Introuvable")</f>
        <v>1.2077407737518886</v>
      </c>
      <c r="AG34" s="91">
        <f>_xlfn.XLOOKUP(E34&amp;F34&amp;G34&amp;H34&amp;I34&amp;J34&amp;K34&amp;L34&amp;M34&amp;N34&amp;O34&amp;P34,'[2]2.4 wsLookup'!$M$2:$M$96,'[2]2.4 wsLookup'!$P$2:$P$96,"Introuvable")</f>
        <v>0.05</v>
      </c>
      <c r="AH34" s="91">
        <f>_xlfn.XLOOKUP(E34&amp;F34&amp;G34&amp;H34&amp;I34&amp;J34&amp;K34&amp;L34&amp;M34&amp;N34&amp;O34&amp;P34,'[2]2.4 wsLookup'!$M$2:$M$96,'[2]2.4 wsLookup'!$R$2:$R$96,"Introuvable")</f>
        <v>5.3249999999999999E-2</v>
      </c>
      <c r="AI34" s="193">
        <f>_xlfn.XLOOKUP(E34&amp;F34&amp;G34&amp;H34&amp;I34&amp;J34&amp;K34&amp;L34&amp;M34&amp;N34&amp;O34&amp;P34,'[2]2.4 wsLookup'!$M$2:$M$96,'[2]2.4 wsLookup'!$S$2:$S$96,"Introuvable")</f>
        <v>12000</v>
      </c>
      <c r="AK34" t="str">
        <f t="shared" si="4"/>
        <v>en localité|non|3|non|non|-|-|-|-|-|-|-</v>
      </c>
      <c r="AO34" t="s">
        <v>1682</v>
      </c>
    </row>
    <row r="35" spans="1:41" ht="39" customHeight="1">
      <c r="A35" s="1"/>
      <c r="B35" s="1"/>
      <c r="C35" s="188" t="s">
        <v>1712</v>
      </c>
      <c r="D35" s="224" t="s">
        <v>1678</v>
      </c>
      <c r="E35" s="225" t="s">
        <v>1679</v>
      </c>
      <c r="F35" s="225" t="s">
        <v>1673</v>
      </c>
      <c r="G35" s="225" t="s">
        <v>257</v>
      </c>
      <c r="H35" s="225" t="s">
        <v>1673</v>
      </c>
      <c r="I35" s="225" t="s">
        <v>1673</v>
      </c>
      <c r="J35" s="320" t="s">
        <v>256</v>
      </c>
      <c r="K35" s="224" t="s">
        <v>256</v>
      </c>
      <c r="L35" s="224" t="s">
        <v>256</v>
      </c>
      <c r="M35" s="224" t="s">
        <v>256</v>
      </c>
      <c r="N35" s="224" t="s">
        <v>256</v>
      </c>
      <c r="O35" s="320" t="s">
        <v>256</v>
      </c>
      <c r="P35" s="226" t="s">
        <v>256</v>
      </c>
      <c r="Q35" s="374">
        <v>9077</v>
      </c>
      <c r="R35" s="323" t="s">
        <v>1673</v>
      </c>
      <c r="S35" s="324" t="str">
        <f t="shared" si="0"/>
        <v>sûr</v>
      </c>
      <c r="T35" s="325" t="str">
        <f t="shared" si="1"/>
        <v>acceptable</v>
      </c>
      <c r="U35" s="228" t="s">
        <v>1673</v>
      </c>
      <c r="V35" s="228" t="s">
        <v>1673</v>
      </c>
      <c r="W35" s="228" t="s">
        <v>1673</v>
      </c>
      <c r="X35" s="229" t="s">
        <v>1674</v>
      </c>
      <c r="Y35" s="288" t="str">
        <f t="shared" si="2"/>
        <v>oui</v>
      </c>
      <c r="Z35" s="328" t="str">
        <f t="shared" si="3"/>
        <v>élevé</v>
      </c>
      <c r="AA35" s="1"/>
      <c r="AB35" s="1"/>
      <c r="AC35" s="190">
        <f>_xlfn.XLOOKUP(E35&amp;F35&amp;G35&amp;H35&amp;I35&amp;J35&amp;K35&amp;L35&amp;M35&amp;N35&amp;O35&amp;P35,'[2]2.4 wsLookup'!$M$2:$M$96,'[2]2.4 wsLookup'!$N$2:$N$96,"Introuvable")</f>
        <v>8.5699999999999993E-6</v>
      </c>
      <c r="AD35" s="190">
        <f>_xlfn.XLOOKUP(E35&amp;F35&amp;G35&amp;H35&amp;I35&amp;J35&amp;K35&amp;L35&amp;M35&amp;N35&amp;O35&amp;P35,'[2]2.4 wsLookup'!$M$2:$M$96,'[2]2.4 wsLookup'!$O$2:$O$96,"Introuvable")</f>
        <v>1.1200000000000001</v>
      </c>
      <c r="AE35" s="90">
        <f t="shared" si="5"/>
        <v>0.23220749724453441</v>
      </c>
      <c r="AF35" s="206">
        <f>_xlfn.XLOOKUP(E35&amp;F35&amp;G35&amp;H35&amp;I35&amp;J35&amp;K35&amp;L35&amp;M35&amp;N35&amp;O35&amp;P35,'[2]2.4 wsLookup'!$M$2:$M$96,'[2]2.4 wsLookup'!$Q$2:$Q$96,"Introuvable")</f>
        <v>1.2077407737518886</v>
      </c>
      <c r="AG35" s="91">
        <f>_xlfn.XLOOKUP(E35&amp;F35&amp;G35&amp;H35&amp;I35&amp;J35&amp;K35&amp;L35&amp;M35&amp;N35&amp;O35&amp;P35,'[2]2.4 wsLookup'!$M$2:$M$96,'[2]2.4 wsLookup'!$P$2:$P$96,"Introuvable")</f>
        <v>0.05</v>
      </c>
      <c r="AH35" s="91">
        <f>_xlfn.XLOOKUP(E35&amp;F35&amp;G35&amp;H35&amp;I35&amp;J35&amp;K35&amp;L35&amp;M35&amp;N35&amp;O35&amp;P35,'[2]2.4 wsLookup'!$M$2:$M$96,'[2]2.4 wsLookup'!$R$2:$R$96,"Introuvable")</f>
        <v>5.3249999999999999E-2</v>
      </c>
      <c r="AI35" s="193">
        <f>_xlfn.XLOOKUP(E35&amp;F35&amp;G35&amp;H35&amp;I35&amp;J35&amp;K35&amp;L35&amp;M35&amp;N35&amp;O35&amp;P35,'[2]2.4 wsLookup'!$M$2:$M$96,'[2]2.4 wsLookup'!$S$2:$S$96,"Introuvable")</f>
        <v>12000</v>
      </c>
      <c r="AK35" t="str">
        <f t="shared" si="4"/>
        <v>en localité|non|3|non|non|-|-|-|-|-|-|-</v>
      </c>
      <c r="AO35" t="s">
        <v>1713</v>
      </c>
    </row>
    <row r="36" spans="1:41" ht="39" customHeight="1">
      <c r="A36" s="1"/>
      <c r="B36" s="1"/>
      <c r="C36" s="188" t="s">
        <v>1714</v>
      </c>
      <c r="D36" s="224" t="s">
        <v>1678</v>
      </c>
      <c r="E36" s="225" t="s">
        <v>1679</v>
      </c>
      <c r="F36" s="225" t="s">
        <v>1673</v>
      </c>
      <c r="G36" s="225" t="s">
        <v>257</v>
      </c>
      <c r="H36" s="225" t="s">
        <v>1673</v>
      </c>
      <c r="I36" s="225" t="s">
        <v>1674</v>
      </c>
      <c r="J36" s="320" t="s">
        <v>256</v>
      </c>
      <c r="K36" s="224" t="s">
        <v>256</v>
      </c>
      <c r="L36" s="224" t="s">
        <v>256</v>
      </c>
      <c r="M36" s="224" t="s">
        <v>256</v>
      </c>
      <c r="N36" s="224" t="s">
        <v>256</v>
      </c>
      <c r="O36" s="320" t="s">
        <v>256</v>
      </c>
      <c r="P36" s="226" t="s">
        <v>256</v>
      </c>
      <c r="Q36" s="374">
        <v>8060</v>
      </c>
      <c r="R36" s="323" t="s">
        <v>1673</v>
      </c>
      <c r="S36" s="324" t="str">
        <f t="shared" si="0"/>
        <v>sûr</v>
      </c>
      <c r="T36" s="325" t="str">
        <f t="shared" si="1"/>
        <v>fluide</v>
      </c>
      <c r="U36" s="228" t="s">
        <v>1673</v>
      </c>
      <c r="V36" s="228" t="s">
        <v>1673</v>
      </c>
      <c r="W36" s="228" t="s">
        <v>1673</v>
      </c>
      <c r="X36" s="229" t="s">
        <v>1673</v>
      </c>
      <c r="Y36" s="288" t="str">
        <f t="shared" si="2"/>
        <v>non</v>
      </c>
      <c r="Z36" s="328" t="str">
        <f t="shared" si="3"/>
        <v>faible</v>
      </c>
      <c r="AA36" s="9"/>
      <c r="AB36" s="1"/>
      <c r="AC36" s="190">
        <f>_xlfn.XLOOKUP(E36&amp;F36&amp;G36&amp;H36&amp;I36&amp;J36&amp;K36&amp;L36&amp;M36&amp;N36&amp;O36&amp;P36,'[2]2.4 wsLookup'!$M$2:$M$96,'[2]2.4 wsLookup'!$N$2:$N$96,"Introuvable")</f>
        <v>1.5600000000000003E-5</v>
      </c>
      <c r="AD36" s="190">
        <f>_xlfn.XLOOKUP(E36&amp;F36&amp;G36&amp;H36&amp;I36&amp;J36&amp;K36&amp;L36&amp;M36&amp;N36&amp;O36&amp;P36,'[2]2.4 wsLookup'!$M$2:$M$96,'[2]2.4 wsLookup'!$O$2:$O$96,"Introuvable")</f>
        <v>1.1200000000000001</v>
      </c>
      <c r="AE36" s="90">
        <f t="shared" si="5"/>
        <v>0.37001543871855175</v>
      </c>
      <c r="AF36" s="206">
        <f>_xlfn.XLOOKUP(E36&amp;F36&amp;G36&amp;H36&amp;I36&amp;J36&amp;K36&amp;L36&amp;M36&amp;N36&amp;O36&amp;P36,'[2]2.4 wsLookup'!$M$2:$M$96,'[2]2.4 wsLookup'!$Q$2:$Q$96,"Introuvable")</f>
        <v>1.2077407737518886</v>
      </c>
      <c r="AG36" s="91">
        <f>_xlfn.XLOOKUP(E36&amp;F36&amp;G36&amp;H36&amp;I36&amp;J36&amp;K36&amp;L36&amp;M36&amp;N36&amp;O36&amp;P36,'[2]2.4 wsLookup'!$M$2:$M$96,'[2]2.4 wsLookup'!$P$2:$P$96,"Introuvable")</f>
        <v>0.05</v>
      </c>
      <c r="AH36" s="91">
        <f>_xlfn.XLOOKUP(E36&amp;F36&amp;G36&amp;H36&amp;I36&amp;J36&amp;K36&amp;L36&amp;M36&amp;N36&amp;O36&amp;P36,'[2]2.4 wsLookup'!$M$2:$M$96,'[2]2.4 wsLookup'!$R$2:$R$96,"Introuvable")</f>
        <v>5.3249999999999999E-2</v>
      </c>
      <c r="AI36" s="193">
        <f>_xlfn.XLOOKUP(E36&amp;F36&amp;G36&amp;H36&amp;I36&amp;J36&amp;K36&amp;L36&amp;M36&amp;N36&amp;O36&amp;P36,'[2]2.4 wsLookup'!$M$2:$M$96,'[2]2.4 wsLookup'!$S$2:$S$96,"Introuvable")</f>
        <v>11000</v>
      </c>
      <c r="AK36" t="str">
        <f t="shared" si="4"/>
        <v>en localité|non|3|non|oui|-|-|-|-|-|-|-</v>
      </c>
      <c r="AO36" t="s">
        <v>1699</v>
      </c>
    </row>
    <row r="37" spans="1:41" ht="39" customHeight="1">
      <c r="A37" s="1"/>
      <c r="B37" s="1"/>
      <c r="C37" s="188" t="s">
        <v>1715</v>
      </c>
      <c r="D37" s="224" t="s">
        <v>1678</v>
      </c>
      <c r="E37" s="225" t="s">
        <v>1679</v>
      </c>
      <c r="F37" s="225" t="s">
        <v>1673</v>
      </c>
      <c r="G37" s="225" t="s">
        <v>257</v>
      </c>
      <c r="H37" s="225" t="s">
        <v>1673</v>
      </c>
      <c r="I37" s="225" t="s">
        <v>1673</v>
      </c>
      <c r="J37" s="320" t="s">
        <v>256</v>
      </c>
      <c r="K37" s="224" t="s">
        <v>256</v>
      </c>
      <c r="L37" s="224" t="s">
        <v>256</v>
      </c>
      <c r="M37" s="224" t="s">
        <v>256</v>
      </c>
      <c r="N37" s="224" t="s">
        <v>256</v>
      </c>
      <c r="O37" s="320" t="s">
        <v>256</v>
      </c>
      <c r="P37" s="226" t="s">
        <v>256</v>
      </c>
      <c r="Q37" s="374">
        <v>5810</v>
      </c>
      <c r="R37" s="323" t="s">
        <v>1673</v>
      </c>
      <c r="S37" s="324" t="str">
        <f t="shared" si="0"/>
        <v>sûr</v>
      </c>
      <c r="T37" s="325" t="str">
        <f t="shared" si="1"/>
        <v>fluide</v>
      </c>
      <c r="U37" s="228" t="s">
        <v>1673</v>
      </c>
      <c r="V37" s="228" t="s">
        <v>1673</v>
      </c>
      <c r="W37" s="228" t="s">
        <v>1673</v>
      </c>
      <c r="X37" s="229" t="s">
        <v>1673</v>
      </c>
      <c r="Y37" s="288" t="str">
        <f t="shared" si="2"/>
        <v>non</v>
      </c>
      <c r="Z37" s="328" t="str">
        <f t="shared" si="3"/>
        <v>faible</v>
      </c>
      <c r="AA37" s="9"/>
      <c r="AB37" s="1"/>
      <c r="AC37" s="190">
        <f>_xlfn.XLOOKUP(E37&amp;F37&amp;G37&amp;H37&amp;I37&amp;J37&amp;K37&amp;L37&amp;M37&amp;N37&amp;O37&amp;P37,'[2]2.4 wsLookup'!$M$2:$M$96,'[2]2.4 wsLookup'!$N$2:$N$96,"Introuvable")</f>
        <v>8.5699999999999993E-6</v>
      </c>
      <c r="AD37" s="190">
        <f>_xlfn.XLOOKUP(E37&amp;F37&amp;G37&amp;H37&amp;I37&amp;J37&amp;K37&amp;L37&amp;M37&amp;N37&amp;O37&amp;P37,'[2]2.4 wsLookup'!$M$2:$M$96,'[2]2.4 wsLookup'!$O$2:$O$96,"Introuvable")</f>
        <v>1.1200000000000001</v>
      </c>
      <c r="AE37" s="90">
        <f t="shared" si="5"/>
        <v>0.1408828375302808</v>
      </c>
      <c r="AF37" s="206">
        <f>_xlfn.XLOOKUP(E37&amp;F37&amp;G37&amp;H37&amp;I37&amp;J37&amp;K37&amp;L37&amp;M37&amp;N37&amp;O37&amp;P37,'[2]2.4 wsLookup'!$M$2:$M$96,'[2]2.4 wsLookup'!$Q$2:$Q$96,"Introuvable")</f>
        <v>1.2077407737518886</v>
      </c>
      <c r="AG37" s="91">
        <f>_xlfn.XLOOKUP(E37&amp;F37&amp;G37&amp;H37&amp;I37&amp;J37&amp;K37&amp;L37&amp;M37&amp;N37&amp;O37&amp;P37,'[2]2.4 wsLookup'!$M$2:$M$96,'[2]2.4 wsLookup'!$P$2:$P$96,"Introuvable")</f>
        <v>0.05</v>
      </c>
      <c r="AH37" s="91">
        <f>_xlfn.XLOOKUP(E37&amp;F37&amp;G37&amp;H37&amp;I37&amp;J37&amp;K37&amp;L37&amp;M37&amp;N37&amp;O37&amp;P37,'[2]2.4 wsLookup'!$M$2:$M$96,'[2]2.4 wsLookup'!$R$2:$R$96,"Introuvable")</f>
        <v>5.3249999999999999E-2</v>
      </c>
      <c r="AI37" s="193">
        <f>_xlfn.XLOOKUP(E37&amp;F37&amp;G37&amp;H37&amp;I37&amp;J37&amp;K37&amp;L37&amp;M37&amp;N37&amp;O37&amp;P37,'[2]2.4 wsLookup'!$M$2:$M$96,'[2]2.4 wsLookup'!$S$2:$S$96,"Introuvable")</f>
        <v>12000</v>
      </c>
      <c r="AK37" t="str">
        <f t="shared" si="4"/>
        <v>en localité|non|3|non|non|-|-|-|-|-|-|-</v>
      </c>
      <c r="AO37" t="s">
        <v>1696</v>
      </c>
    </row>
    <row r="38" spans="1:41" ht="39" customHeight="1">
      <c r="A38" s="1"/>
      <c r="B38" s="1"/>
      <c r="C38" s="188" t="s">
        <v>1716</v>
      </c>
      <c r="D38" s="224" t="s">
        <v>1678</v>
      </c>
      <c r="E38" s="225" t="s">
        <v>1679</v>
      </c>
      <c r="F38" s="225" t="s">
        <v>1673</v>
      </c>
      <c r="G38" s="225" t="s">
        <v>257</v>
      </c>
      <c r="H38" s="225" t="s">
        <v>1673</v>
      </c>
      <c r="I38" s="225" t="s">
        <v>1673</v>
      </c>
      <c r="J38" s="320" t="s">
        <v>256</v>
      </c>
      <c r="K38" s="224" t="s">
        <v>256</v>
      </c>
      <c r="L38" s="224" t="s">
        <v>256</v>
      </c>
      <c r="M38" s="224" t="s">
        <v>256</v>
      </c>
      <c r="N38" s="224" t="s">
        <v>256</v>
      </c>
      <c r="O38" s="320" t="s">
        <v>256</v>
      </c>
      <c r="P38" s="226" t="s">
        <v>256</v>
      </c>
      <c r="Q38" s="374">
        <v>8107</v>
      </c>
      <c r="R38" s="323" t="s">
        <v>1673</v>
      </c>
      <c r="S38" s="324" t="str">
        <f t="shared" si="0"/>
        <v>sûr</v>
      </c>
      <c r="T38" s="325" t="str">
        <f t="shared" si="1"/>
        <v>fluide</v>
      </c>
      <c r="U38" s="228" t="s">
        <v>1673</v>
      </c>
      <c r="V38" s="228" t="s">
        <v>1673</v>
      </c>
      <c r="W38" s="228" t="s">
        <v>1673</v>
      </c>
      <c r="X38" s="229" t="s">
        <v>1674</v>
      </c>
      <c r="Y38" s="288" t="str">
        <f t="shared" si="2"/>
        <v>oui</v>
      </c>
      <c r="Z38" s="328" t="str">
        <f t="shared" si="3"/>
        <v>élevé</v>
      </c>
      <c r="AA38" s="9"/>
      <c r="AB38" s="1"/>
      <c r="AC38" s="190">
        <f>_xlfn.XLOOKUP(E38&amp;F38&amp;G38&amp;H38&amp;I38&amp;J38&amp;K38&amp;L38&amp;M38&amp;N38&amp;O38&amp;P38,'[2]2.4 wsLookup'!$M$2:$M$96,'[2]2.4 wsLookup'!$N$2:$N$96,"Introuvable")</f>
        <v>8.5699999999999993E-6</v>
      </c>
      <c r="AD38" s="190">
        <f>_xlfn.XLOOKUP(E38&amp;F38&amp;G38&amp;H38&amp;I38&amp;J38&amp;K38&amp;L38&amp;M38&amp;N38&amp;O38&amp;P38,'[2]2.4 wsLookup'!$M$2:$M$96,'[2]2.4 wsLookup'!$O$2:$O$96,"Introuvable")</f>
        <v>1.1200000000000001</v>
      </c>
      <c r="AE38" s="90">
        <f t="shared" si="5"/>
        <v>0.2045993340068587</v>
      </c>
      <c r="AF38" s="206">
        <f>_xlfn.XLOOKUP(E38&amp;F38&amp;G38&amp;H38&amp;I38&amp;J38&amp;K38&amp;L38&amp;M38&amp;N38&amp;O38&amp;P38,'[2]2.4 wsLookup'!$M$2:$M$96,'[2]2.4 wsLookup'!$Q$2:$Q$96,"Introuvable")</f>
        <v>1.2077407737518886</v>
      </c>
      <c r="AG38" s="91">
        <f>_xlfn.XLOOKUP(E38&amp;F38&amp;G38&amp;H38&amp;I38&amp;J38&amp;K38&amp;L38&amp;M38&amp;N38&amp;O38&amp;P38,'[2]2.4 wsLookup'!$M$2:$M$96,'[2]2.4 wsLookup'!$P$2:$P$96,"Introuvable")</f>
        <v>0.05</v>
      </c>
      <c r="AH38" s="91">
        <f>_xlfn.XLOOKUP(E38&amp;F38&amp;G38&amp;H38&amp;I38&amp;J38&amp;K38&amp;L38&amp;M38&amp;N38&amp;O38&amp;P38,'[2]2.4 wsLookup'!$M$2:$M$96,'[2]2.4 wsLookup'!$R$2:$R$96,"Introuvable")</f>
        <v>5.3249999999999999E-2</v>
      </c>
      <c r="AI38" s="193">
        <f>_xlfn.XLOOKUP(E38&amp;F38&amp;G38&amp;H38&amp;I38&amp;J38&amp;K38&amp;L38&amp;M38&amp;N38&amp;O38&amp;P38,'[2]2.4 wsLookup'!$M$2:$M$96,'[2]2.4 wsLookup'!$S$2:$S$96,"Introuvable")</f>
        <v>12000</v>
      </c>
      <c r="AK38" t="str">
        <f t="shared" si="4"/>
        <v>en localité|non|3|non|non|-|-|-|-|-|-|-</v>
      </c>
      <c r="AO38" t="s">
        <v>1717</v>
      </c>
    </row>
    <row r="39" spans="1:41" ht="39" customHeight="1">
      <c r="A39" s="1"/>
      <c r="B39" s="1"/>
      <c r="C39" s="188" t="s">
        <v>1718</v>
      </c>
      <c r="D39" s="224" t="s">
        <v>1678</v>
      </c>
      <c r="E39" s="225" t="s">
        <v>1679</v>
      </c>
      <c r="F39" s="225" t="s">
        <v>1673</v>
      </c>
      <c r="G39" s="225" t="s">
        <v>255</v>
      </c>
      <c r="H39" s="225" t="s">
        <v>1673</v>
      </c>
      <c r="I39" s="225" t="s">
        <v>1673</v>
      </c>
      <c r="J39" s="320" t="s">
        <v>256</v>
      </c>
      <c r="K39" s="224" t="s">
        <v>256</v>
      </c>
      <c r="L39" s="224" t="s">
        <v>256</v>
      </c>
      <c r="M39" s="224" t="s">
        <v>256</v>
      </c>
      <c r="N39" s="224" t="s">
        <v>256</v>
      </c>
      <c r="O39" s="320" t="s">
        <v>256</v>
      </c>
      <c r="P39" s="226" t="s">
        <v>256</v>
      </c>
      <c r="Q39" s="374">
        <v>11496</v>
      </c>
      <c r="R39" s="323" t="s">
        <v>1673</v>
      </c>
      <c r="S39" s="324" t="str">
        <f t="shared" si="0"/>
        <v>acceptable</v>
      </c>
      <c r="T39" s="325" t="str">
        <f t="shared" si="1"/>
        <v>acceptable</v>
      </c>
      <c r="U39" s="228" t="s">
        <v>1673</v>
      </c>
      <c r="V39" s="228" t="s">
        <v>1673</v>
      </c>
      <c r="W39" s="228" t="s">
        <v>1673</v>
      </c>
      <c r="X39" s="229" t="s">
        <v>1673</v>
      </c>
      <c r="Y39" s="288" t="str">
        <f t="shared" si="2"/>
        <v>non</v>
      </c>
      <c r="Z39" s="328" t="str">
        <f t="shared" si="3"/>
        <v>moyen</v>
      </c>
      <c r="AA39" s="9"/>
      <c r="AB39" s="1"/>
      <c r="AC39" s="190">
        <f>_xlfn.XLOOKUP(E39&amp;F39&amp;G39&amp;H39&amp;I39&amp;J39&amp;K39&amp;L39&amp;M39&amp;N39&amp;O39&amp;P39,'[2]2.4 wsLookup'!$M$2:$M$96,'[2]2.4 wsLookup'!$N$2:$N$96,"Introuvable")</f>
        <v>1.27E-5</v>
      </c>
      <c r="AD39" s="190">
        <f>_xlfn.XLOOKUP(E39&amp;F39&amp;G39&amp;H39&amp;I39&amp;J39&amp;K39&amp;L39&amp;M39&amp;N39&amp;O39&amp;P39,'[2]2.4 wsLookup'!$M$2:$M$96,'[2]2.4 wsLookup'!$O$2:$O$96,"Introuvable")</f>
        <v>1.1200000000000001</v>
      </c>
      <c r="AE39" s="90">
        <f t="shared" si="5"/>
        <v>0.44834887741114199</v>
      </c>
      <c r="AF39" s="206">
        <f>_xlfn.XLOOKUP(E39&amp;F39&amp;G39&amp;H39&amp;I39&amp;J39&amp;K39&amp;L39&amp;M39&amp;N39&amp;O39&amp;P39,'[2]2.4 wsLookup'!$M$2:$M$96,'[2]2.4 wsLookup'!$Q$2:$Q$96,"Introuvable")</f>
        <v>1.2077407737518886</v>
      </c>
      <c r="AG39" s="91">
        <f>_xlfn.XLOOKUP(E39&amp;F39&amp;G39&amp;H39&amp;I39&amp;J39&amp;K39&amp;L39&amp;M39&amp;N39&amp;O39&amp;P39,'[2]2.4 wsLookup'!$M$2:$M$96,'[2]2.4 wsLookup'!$P$2:$P$96,"Introuvable")</f>
        <v>5.7000000000000002E-2</v>
      </c>
      <c r="AH39" s="91">
        <f>_xlfn.XLOOKUP(E39&amp;F39&amp;G39&amp;H39&amp;I39&amp;J39&amp;K39&amp;L39&amp;M39&amp;N39&amp;O39&amp;P39,'[2]2.4 wsLookup'!$M$2:$M$96,'[2]2.4 wsLookup'!$R$2:$R$96,"Introuvable")</f>
        <v>5.3249999999999999E-2</v>
      </c>
      <c r="AI39" s="193">
        <f>_xlfn.XLOOKUP(E39&amp;F39&amp;G39&amp;H39&amp;I39&amp;J39&amp;K39&amp;L39&amp;M39&amp;N39&amp;O39&amp;P39,'[2]2.4 wsLookup'!$M$2:$M$96,'[2]2.4 wsLookup'!$S$2:$S$96,"Introuvable")</f>
        <v>14000</v>
      </c>
      <c r="AK39" t="str">
        <f t="shared" si="4"/>
        <v>en localité|non|&gt;3|non|non|-|-|-|-|-|-|-</v>
      </c>
      <c r="AO39" t="s">
        <v>1719</v>
      </c>
    </row>
    <row r="40" spans="1:41" ht="39" customHeight="1">
      <c r="A40" s="1"/>
      <c r="B40" s="1"/>
      <c r="C40" s="188" t="s">
        <v>1720</v>
      </c>
      <c r="D40" s="224" t="s">
        <v>1678</v>
      </c>
      <c r="E40" s="225" t="s">
        <v>1679</v>
      </c>
      <c r="F40" s="225" t="s">
        <v>1673</v>
      </c>
      <c r="G40" s="225" t="s">
        <v>257</v>
      </c>
      <c r="H40" s="225" t="s">
        <v>1673</v>
      </c>
      <c r="I40" s="225" t="s">
        <v>1673</v>
      </c>
      <c r="J40" s="320" t="s">
        <v>256</v>
      </c>
      <c r="K40" s="224" t="s">
        <v>256</v>
      </c>
      <c r="L40" s="224" t="s">
        <v>256</v>
      </c>
      <c r="M40" s="224" t="s">
        <v>256</v>
      </c>
      <c r="N40" s="224" t="s">
        <v>256</v>
      </c>
      <c r="O40" s="320" t="s">
        <v>256</v>
      </c>
      <c r="P40" s="226" t="s">
        <v>256</v>
      </c>
      <c r="Q40" s="374">
        <v>6624</v>
      </c>
      <c r="R40" s="323" t="s">
        <v>1673</v>
      </c>
      <c r="S40" s="324" t="str">
        <f t="shared" si="0"/>
        <v>sûr</v>
      </c>
      <c r="T40" s="325" t="str">
        <f t="shared" si="1"/>
        <v>fluide</v>
      </c>
      <c r="U40" s="228" t="s">
        <v>1673</v>
      </c>
      <c r="V40" s="228" t="s">
        <v>1673</v>
      </c>
      <c r="W40" s="228" t="s">
        <v>1673</v>
      </c>
      <c r="X40" s="229" t="s">
        <v>1673</v>
      </c>
      <c r="Y40" s="288" t="str">
        <f t="shared" si="2"/>
        <v>non</v>
      </c>
      <c r="Z40" s="328" t="str">
        <f t="shared" si="3"/>
        <v>faible</v>
      </c>
      <c r="AA40" s="9"/>
      <c r="AB40" s="1"/>
      <c r="AC40" s="190">
        <f>_xlfn.XLOOKUP(E40&amp;F40&amp;G40&amp;H40&amp;I40&amp;J40&amp;K40&amp;L40&amp;M40&amp;N40&amp;O40&amp;P40,'[2]2.4 wsLookup'!$M$2:$M$96,'[2]2.4 wsLookup'!$N$2:$N$96,"Introuvable")</f>
        <v>8.5699999999999993E-6</v>
      </c>
      <c r="AD40" s="190">
        <f>_xlfn.XLOOKUP(E40&amp;F40&amp;G40&amp;H40&amp;I40&amp;J40&amp;K40&amp;L40&amp;M40&amp;N40&amp;O40&amp;P40,'[2]2.4 wsLookup'!$M$2:$M$96,'[2]2.4 wsLookup'!$O$2:$O$96,"Introuvable")</f>
        <v>1.1200000000000001</v>
      </c>
      <c r="AE40" s="90">
        <f t="shared" si="5"/>
        <v>0.16316822327071248</v>
      </c>
      <c r="AF40" s="206">
        <f>_xlfn.XLOOKUP(E40&amp;F40&amp;G40&amp;H40&amp;I40&amp;J40&amp;K40&amp;L40&amp;M40&amp;N40&amp;O40&amp;P40,'[2]2.4 wsLookup'!$M$2:$M$96,'[2]2.4 wsLookup'!$Q$2:$Q$96,"Introuvable")</f>
        <v>1.2077407737518886</v>
      </c>
      <c r="AG40" s="91">
        <f>_xlfn.XLOOKUP(E40&amp;F40&amp;G40&amp;H40&amp;I40&amp;J40&amp;K40&amp;L40&amp;M40&amp;N40&amp;O40&amp;P40,'[2]2.4 wsLookup'!$M$2:$M$96,'[2]2.4 wsLookup'!$P$2:$P$96,"Introuvable")</f>
        <v>0.05</v>
      </c>
      <c r="AH40" s="91">
        <f>_xlfn.XLOOKUP(E40&amp;F40&amp;G40&amp;H40&amp;I40&amp;J40&amp;K40&amp;L40&amp;M40&amp;N40&amp;O40&amp;P40,'[2]2.4 wsLookup'!$M$2:$M$96,'[2]2.4 wsLookup'!$R$2:$R$96,"Introuvable")</f>
        <v>5.3249999999999999E-2</v>
      </c>
      <c r="AI40" s="193">
        <f>_xlfn.XLOOKUP(E40&amp;F40&amp;G40&amp;H40&amp;I40&amp;J40&amp;K40&amp;L40&amp;M40&amp;N40&amp;O40&amp;P40,'[2]2.4 wsLookup'!$M$2:$M$96,'[2]2.4 wsLookup'!$S$2:$S$96,"Introuvable")</f>
        <v>12000</v>
      </c>
      <c r="AK40" t="str">
        <f t="shared" si="4"/>
        <v>en localité|non|3|non|non|-|-|-|-|-|-|-</v>
      </c>
      <c r="AO40" t="s">
        <v>1696</v>
      </c>
    </row>
    <row r="41" spans="1:41" ht="39" customHeight="1">
      <c r="A41" s="1"/>
      <c r="B41" s="1"/>
      <c r="C41" s="188" t="s">
        <v>1721</v>
      </c>
      <c r="D41" s="224" t="s">
        <v>1678</v>
      </c>
      <c r="E41" s="225" t="s">
        <v>1679</v>
      </c>
      <c r="F41" s="225" t="s">
        <v>1673</v>
      </c>
      <c r="G41" s="225" t="s">
        <v>257</v>
      </c>
      <c r="H41" s="225" t="s">
        <v>1673</v>
      </c>
      <c r="I41" s="225" t="s">
        <v>1673</v>
      </c>
      <c r="J41" s="320" t="s">
        <v>256</v>
      </c>
      <c r="K41" s="224" t="s">
        <v>256</v>
      </c>
      <c r="L41" s="224" t="s">
        <v>256</v>
      </c>
      <c r="M41" s="224" t="s">
        <v>256</v>
      </c>
      <c r="N41" s="224" t="s">
        <v>256</v>
      </c>
      <c r="O41" s="320" t="s">
        <v>256</v>
      </c>
      <c r="P41" s="226" t="s">
        <v>256</v>
      </c>
      <c r="Q41" s="374">
        <v>9076</v>
      </c>
      <c r="R41" s="323" t="s">
        <v>1673</v>
      </c>
      <c r="S41" s="324" t="str">
        <f t="shared" si="0"/>
        <v>sûr</v>
      </c>
      <c r="T41" s="325" t="str">
        <f t="shared" si="1"/>
        <v>acceptable</v>
      </c>
      <c r="U41" s="228" t="s">
        <v>1673</v>
      </c>
      <c r="V41" s="228" t="s">
        <v>1673</v>
      </c>
      <c r="W41" s="228" t="s">
        <v>1673</v>
      </c>
      <c r="X41" s="229" t="s">
        <v>1673</v>
      </c>
      <c r="Y41" s="288" t="str">
        <f t="shared" si="2"/>
        <v>non</v>
      </c>
      <c r="Z41" s="328" t="str">
        <f t="shared" si="3"/>
        <v>moyen</v>
      </c>
      <c r="AA41" s="9"/>
      <c r="AB41" s="1"/>
      <c r="AC41" s="190">
        <f>_xlfn.XLOOKUP(E41&amp;F41&amp;G41&amp;H41&amp;I41&amp;J41&amp;K41&amp;L41&amp;M41&amp;N41&amp;O41&amp;P41,'[2]2.4 wsLookup'!$M$2:$M$96,'[2]2.4 wsLookup'!$N$2:$N$96,"Introuvable")</f>
        <v>8.5699999999999993E-6</v>
      </c>
      <c r="AD41" s="190">
        <f>_xlfn.XLOOKUP(E41&amp;F41&amp;G41&amp;H41&amp;I41&amp;J41&amp;K41&amp;L41&amp;M41&amp;N41&amp;O41&amp;P41,'[2]2.4 wsLookup'!$M$2:$M$96,'[2]2.4 wsLookup'!$O$2:$O$96,"Introuvable")</f>
        <v>1.1200000000000001</v>
      </c>
      <c r="AE41" s="90">
        <f t="shared" si="5"/>
        <v>0.23217884563301672</v>
      </c>
      <c r="AF41" s="206">
        <f>_xlfn.XLOOKUP(E41&amp;F41&amp;G41&amp;H41&amp;I41&amp;J41&amp;K41&amp;L41&amp;M41&amp;N41&amp;O41&amp;P41,'[2]2.4 wsLookup'!$M$2:$M$96,'[2]2.4 wsLookup'!$Q$2:$Q$96,"Introuvable")</f>
        <v>1.2077407737518886</v>
      </c>
      <c r="AG41" s="91">
        <f>_xlfn.XLOOKUP(E41&amp;F41&amp;G41&amp;H41&amp;I41&amp;J41&amp;K41&amp;L41&amp;M41&amp;N41&amp;O41&amp;P41,'[2]2.4 wsLookup'!$M$2:$M$96,'[2]2.4 wsLookup'!$P$2:$P$96,"Introuvable")</f>
        <v>0.05</v>
      </c>
      <c r="AH41" s="91">
        <f>_xlfn.XLOOKUP(E41&amp;F41&amp;G41&amp;H41&amp;I41&amp;J41&amp;K41&amp;L41&amp;M41&amp;N41&amp;O41&amp;P41,'[2]2.4 wsLookup'!$M$2:$M$96,'[2]2.4 wsLookup'!$R$2:$R$96,"Introuvable")</f>
        <v>5.3249999999999999E-2</v>
      </c>
      <c r="AI41" s="193">
        <f>_xlfn.XLOOKUP(E41&amp;F41&amp;G41&amp;H41&amp;I41&amp;J41&amp;K41&amp;L41&amp;M41&amp;N41&amp;O41&amp;P41,'[2]2.4 wsLookup'!$M$2:$M$96,'[2]2.4 wsLookup'!$S$2:$S$96,"Introuvable")</f>
        <v>12000</v>
      </c>
      <c r="AK41" t="str">
        <f t="shared" si="4"/>
        <v>en localité|non|3|non|non|-|-|-|-|-|-|-</v>
      </c>
      <c r="AO41" t="s">
        <v>1682</v>
      </c>
    </row>
    <row r="42" spans="1:41" ht="39" customHeight="1">
      <c r="A42" s="1"/>
      <c r="B42" s="1"/>
      <c r="C42" s="188" t="s">
        <v>1722</v>
      </c>
      <c r="D42" s="224" t="s">
        <v>1678</v>
      </c>
      <c r="E42" s="225" t="s">
        <v>1679</v>
      </c>
      <c r="F42" s="225" t="s">
        <v>1673</v>
      </c>
      <c r="G42" s="225" t="s">
        <v>255</v>
      </c>
      <c r="H42" s="225" t="s">
        <v>1673</v>
      </c>
      <c r="I42" s="225" t="s">
        <v>1674</v>
      </c>
      <c r="J42" s="320" t="s">
        <v>256</v>
      </c>
      <c r="K42" s="224" t="s">
        <v>256</v>
      </c>
      <c r="L42" s="224" t="s">
        <v>256</v>
      </c>
      <c r="M42" s="224" t="s">
        <v>256</v>
      </c>
      <c r="N42" s="224" t="s">
        <v>256</v>
      </c>
      <c r="O42" s="320" t="s">
        <v>256</v>
      </c>
      <c r="P42" s="226" t="s">
        <v>256</v>
      </c>
      <c r="Q42" s="374">
        <v>10836</v>
      </c>
      <c r="R42" s="323" t="s">
        <v>1673</v>
      </c>
      <c r="S42" s="324" t="str">
        <f t="shared" si="0"/>
        <v>acceptable</v>
      </c>
      <c r="T42" s="325" t="str">
        <f t="shared" si="1"/>
        <v>acceptable</v>
      </c>
      <c r="U42" s="228" t="s">
        <v>1673</v>
      </c>
      <c r="V42" s="228" t="s">
        <v>1673</v>
      </c>
      <c r="W42" s="228" t="s">
        <v>1673</v>
      </c>
      <c r="X42" s="229" t="s">
        <v>1673</v>
      </c>
      <c r="Y42" s="288" t="str">
        <f t="shared" si="2"/>
        <v>non</v>
      </c>
      <c r="Z42" s="328" t="str">
        <f t="shared" si="3"/>
        <v>moyen</v>
      </c>
      <c r="AA42" s="9"/>
      <c r="AB42" s="1"/>
      <c r="AC42" s="190">
        <f>_xlfn.XLOOKUP(E42&amp;F42&amp;G42&amp;H42&amp;I42&amp;J42&amp;K42&amp;L42&amp;M42&amp;N42&amp;O42&amp;P42,'[2]2.4 wsLookup'!$M$2:$M$96,'[2]2.4 wsLookup'!$N$2:$N$96,"Introuvable")</f>
        <v>2.3E-5</v>
      </c>
      <c r="AD42" s="190">
        <f>_xlfn.XLOOKUP(E42&amp;F42&amp;G42&amp;H42&amp;I42&amp;J42&amp;K42&amp;L42&amp;M42&amp;N42&amp;O42&amp;P42,'[2]2.4 wsLookup'!$M$2:$M$96,'[2]2.4 wsLookup'!$O$2:$O$96,"Introuvable")</f>
        <v>1.1200000000000001</v>
      </c>
      <c r="AE42" s="90">
        <f t="shared" si="5"/>
        <v>0.75994316268015072</v>
      </c>
      <c r="AF42" s="206">
        <f>_xlfn.XLOOKUP(E42&amp;F42&amp;G42&amp;H42&amp;I42&amp;J42&amp;K42&amp;L42&amp;M42&amp;N42&amp;O42&amp;P42,'[2]2.4 wsLookup'!$M$2:$M$96,'[2]2.4 wsLookup'!$Q$2:$Q$96,"Introuvable")</f>
        <v>1.2077407737518886</v>
      </c>
      <c r="AG42" s="91">
        <f>_xlfn.XLOOKUP(E42&amp;F42&amp;G42&amp;H42&amp;I42&amp;J42&amp;K42&amp;L42&amp;M42&amp;N42&amp;O42&amp;P42,'[2]2.4 wsLookup'!$M$2:$M$96,'[2]2.4 wsLookup'!$P$2:$P$96,"Introuvable")</f>
        <v>5.7000000000000002E-2</v>
      </c>
      <c r="AH42" s="91">
        <f>_xlfn.XLOOKUP(E42&amp;F42&amp;G42&amp;H42&amp;I42&amp;J42&amp;K42&amp;L42&amp;M42&amp;N42&amp;O42&amp;P42,'[2]2.4 wsLookup'!$M$2:$M$96,'[2]2.4 wsLookup'!$R$2:$R$96,"Introuvable")</f>
        <v>5.3249999999999999E-2</v>
      </c>
      <c r="AI42" s="193">
        <f>_xlfn.XLOOKUP(E42&amp;F42&amp;G42&amp;H42&amp;I42&amp;J42&amp;K42&amp;L42&amp;M42&amp;N42&amp;O42&amp;P42,'[2]2.4 wsLookup'!$M$2:$M$96,'[2]2.4 wsLookup'!$S$2:$S$96,"Introuvable")</f>
        <v>12500</v>
      </c>
      <c r="AK42" t="str">
        <f t="shared" si="4"/>
        <v>en localité|non|&gt;3|non|oui|-|-|-|-|-|-|-</v>
      </c>
      <c r="AO42" t="s">
        <v>1694</v>
      </c>
    </row>
    <row r="43" spans="1:41" ht="39" customHeight="1">
      <c r="A43" s="1"/>
      <c r="B43" s="1"/>
      <c r="C43" s="188" t="s">
        <v>1723</v>
      </c>
      <c r="D43" s="224" t="s">
        <v>1678</v>
      </c>
      <c r="E43" s="225" t="s">
        <v>1679</v>
      </c>
      <c r="F43" s="225" t="s">
        <v>1673</v>
      </c>
      <c r="G43" s="225" t="s">
        <v>255</v>
      </c>
      <c r="H43" s="225" t="s">
        <v>1673</v>
      </c>
      <c r="I43" s="225" t="s">
        <v>1673</v>
      </c>
      <c r="J43" s="320" t="s">
        <v>256</v>
      </c>
      <c r="K43" s="224" t="s">
        <v>256</v>
      </c>
      <c r="L43" s="224" t="s">
        <v>256</v>
      </c>
      <c r="M43" s="224" t="s">
        <v>256</v>
      </c>
      <c r="N43" s="224" t="s">
        <v>256</v>
      </c>
      <c r="O43" s="320" t="s">
        <v>256</v>
      </c>
      <c r="P43" s="226" t="s">
        <v>256</v>
      </c>
      <c r="Q43" s="374">
        <v>12946</v>
      </c>
      <c r="R43" s="323" t="s">
        <v>1673</v>
      </c>
      <c r="S43" s="324" t="str">
        <f t="shared" si="0"/>
        <v>acceptable</v>
      </c>
      <c r="T43" s="325" t="str">
        <f t="shared" si="1"/>
        <v>acceptable</v>
      </c>
      <c r="U43" s="228" t="s">
        <v>1673</v>
      </c>
      <c r="V43" s="228" t="s">
        <v>1673</v>
      </c>
      <c r="W43" s="228" t="s">
        <v>1674</v>
      </c>
      <c r="X43" s="229" t="s">
        <v>1673</v>
      </c>
      <c r="Y43" s="288" t="str">
        <f t="shared" si="2"/>
        <v>oui</v>
      </c>
      <c r="Z43" s="328" t="str">
        <f t="shared" si="3"/>
        <v>élevé</v>
      </c>
      <c r="AA43" s="9"/>
      <c r="AB43" s="1"/>
      <c r="AC43" s="190">
        <f>_xlfn.XLOOKUP(E43&amp;F43&amp;G43&amp;H43&amp;I43&amp;J43&amp;K43&amp;L43&amp;M43&amp;N43&amp;O43&amp;P43,'[2]2.4 wsLookup'!$M$2:$M$96,'[2]2.4 wsLookup'!$N$2:$N$96,"Introuvable")</f>
        <v>1.27E-5</v>
      </c>
      <c r="AD43" s="190">
        <f>_xlfn.XLOOKUP(E43&amp;F43&amp;G43&amp;H43&amp;I43&amp;J43&amp;K43&amp;L43&amp;M43&amp;N43&amp;O43&amp;P43,'[2]2.4 wsLookup'!$M$2:$M$96,'[2]2.4 wsLookup'!$O$2:$O$96,"Introuvable")</f>
        <v>1.1200000000000001</v>
      </c>
      <c r="AE43" s="90">
        <f t="shared" si="5"/>
        <v>0.51214813546906734</v>
      </c>
      <c r="AF43" s="206">
        <f>_xlfn.XLOOKUP(E43&amp;F43&amp;G43&amp;H43&amp;I43&amp;J43&amp;K43&amp;L43&amp;M43&amp;N43&amp;O43&amp;P43,'[2]2.4 wsLookup'!$M$2:$M$96,'[2]2.4 wsLookup'!$Q$2:$Q$96,"Introuvable")</f>
        <v>1.2077407737518886</v>
      </c>
      <c r="AG43" s="91">
        <f>_xlfn.XLOOKUP(E43&amp;F43&amp;G43&amp;H43&amp;I43&amp;J43&amp;K43&amp;L43&amp;M43&amp;N43&amp;O43&amp;P43,'[2]2.4 wsLookup'!$M$2:$M$96,'[2]2.4 wsLookup'!$P$2:$P$96,"Introuvable")</f>
        <v>5.7000000000000002E-2</v>
      </c>
      <c r="AH43" s="91">
        <f>_xlfn.XLOOKUP(E43&amp;F43&amp;G43&amp;H43&amp;I43&amp;J43&amp;K43&amp;L43&amp;M43&amp;N43&amp;O43&amp;P43,'[2]2.4 wsLookup'!$M$2:$M$96,'[2]2.4 wsLookup'!$R$2:$R$96,"Introuvable")</f>
        <v>5.3249999999999999E-2</v>
      </c>
      <c r="AI43" s="193">
        <f>_xlfn.XLOOKUP(E43&amp;F43&amp;G43&amp;H43&amp;I43&amp;J43&amp;K43&amp;L43&amp;M43&amp;N43&amp;O43&amp;P43,'[2]2.4 wsLookup'!$M$2:$M$96,'[2]2.4 wsLookup'!$S$2:$S$96,"Introuvable")</f>
        <v>14000</v>
      </c>
      <c r="AK43" t="str">
        <f t="shared" si="4"/>
        <v>en localité|non|&gt;3|non|non|-|-|-|-|-|-|-</v>
      </c>
      <c r="AO43" t="s">
        <v>1724</v>
      </c>
    </row>
    <row r="44" spans="1:41" ht="39" customHeight="1">
      <c r="A44" s="1"/>
      <c r="B44" s="1"/>
      <c r="C44" s="188" t="s">
        <v>1725</v>
      </c>
      <c r="D44" s="224" t="s">
        <v>1678</v>
      </c>
      <c r="E44" s="225" t="s">
        <v>1679</v>
      </c>
      <c r="F44" s="225" t="s">
        <v>1673</v>
      </c>
      <c r="G44" s="225" t="s">
        <v>255</v>
      </c>
      <c r="H44" s="225" t="s">
        <v>1673</v>
      </c>
      <c r="I44" s="225" t="s">
        <v>1674</v>
      </c>
      <c r="J44" s="320" t="s">
        <v>256</v>
      </c>
      <c r="K44" s="224" t="s">
        <v>256</v>
      </c>
      <c r="L44" s="224" t="s">
        <v>256</v>
      </c>
      <c r="M44" s="224" t="s">
        <v>256</v>
      </c>
      <c r="N44" s="224" t="s">
        <v>256</v>
      </c>
      <c r="O44" s="320" t="s">
        <v>256</v>
      </c>
      <c r="P44" s="226" t="s">
        <v>256</v>
      </c>
      <c r="Q44" s="374">
        <v>15578</v>
      </c>
      <c r="R44" s="323" t="s">
        <v>1673</v>
      </c>
      <c r="S44" s="324" t="str">
        <f t="shared" si="0"/>
        <v>acceptable</v>
      </c>
      <c r="T44" s="325" t="str">
        <f t="shared" si="1"/>
        <v>acceptable</v>
      </c>
      <c r="U44" s="228" t="s">
        <v>1673</v>
      </c>
      <c r="V44" s="228" t="s">
        <v>1673</v>
      </c>
      <c r="W44" s="228" t="s">
        <v>1673</v>
      </c>
      <c r="X44" s="229" t="s">
        <v>1673</v>
      </c>
      <c r="Y44" s="288" t="str">
        <f t="shared" si="2"/>
        <v>non</v>
      </c>
      <c r="Z44" s="328" t="str">
        <f t="shared" si="3"/>
        <v>moyen</v>
      </c>
      <c r="AA44" s="9"/>
      <c r="AB44" s="1"/>
      <c r="AC44" s="190">
        <f>_xlfn.XLOOKUP(E44&amp;F44&amp;G44&amp;H44&amp;I44&amp;J44&amp;K44&amp;L44&amp;M44&amp;N44&amp;O44&amp;P44,'[2]2.4 wsLookup'!$M$2:$M$96,'[2]2.4 wsLookup'!$N$2:$N$96,"Introuvable")</f>
        <v>2.3E-5</v>
      </c>
      <c r="AD44" s="190">
        <f>_xlfn.XLOOKUP(E44&amp;F44&amp;G44&amp;H44&amp;I44&amp;J44&amp;K44&amp;L44&amp;M44&amp;N44&amp;O44&amp;P44,'[2]2.4 wsLookup'!$M$2:$M$96,'[2]2.4 wsLookup'!$O$2:$O$96,"Introuvable")</f>
        <v>1.1200000000000001</v>
      </c>
      <c r="AE44" s="90">
        <f t="shared" si="5"/>
        <v>1.1411452831285402</v>
      </c>
      <c r="AF44" s="206">
        <f>_xlfn.XLOOKUP(E44&amp;F44&amp;G44&amp;H44&amp;I44&amp;J44&amp;K44&amp;L44&amp;M44&amp;N44&amp;O44&amp;P44,'[2]2.4 wsLookup'!$M$2:$M$96,'[2]2.4 wsLookup'!$Q$2:$Q$96,"Introuvable")</f>
        <v>1.2077407737518886</v>
      </c>
      <c r="AG44" s="91">
        <f>_xlfn.XLOOKUP(E44&amp;F44&amp;G44&amp;H44&amp;I44&amp;J44&amp;K44&amp;L44&amp;M44&amp;N44&amp;O44&amp;P44,'[2]2.4 wsLookup'!$M$2:$M$96,'[2]2.4 wsLookup'!$P$2:$P$96,"Introuvable")</f>
        <v>5.7000000000000002E-2</v>
      </c>
      <c r="AH44" s="91">
        <f>_xlfn.XLOOKUP(E44&amp;F44&amp;G44&amp;H44&amp;I44&amp;J44&amp;K44&amp;L44&amp;M44&amp;N44&amp;O44&amp;P44,'[2]2.4 wsLookup'!$M$2:$M$96,'[2]2.4 wsLookup'!$R$2:$R$96,"Introuvable")</f>
        <v>5.3249999999999999E-2</v>
      </c>
      <c r="AI44" s="193">
        <f>_xlfn.XLOOKUP(E44&amp;F44&amp;G44&amp;H44&amp;I44&amp;J44&amp;K44&amp;L44&amp;M44&amp;N44&amp;O44&amp;P44,'[2]2.4 wsLookup'!$M$2:$M$96,'[2]2.4 wsLookup'!$S$2:$S$96,"Introuvable")</f>
        <v>12500</v>
      </c>
      <c r="AK44" t="str">
        <f t="shared" si="4"/>
        <v>en localité|non|&gt;3|non|oui|-|-|-|-|-|-|-</v>
      </c>
      <c r="AO44" t="s">
        <v>1694</v>
      </c>
    </row>
    <row r="45" spans="1:41" ht="39" customHeight="1">
      <c r="A45" s="1"/>
      <c r="B45" s="1"/>
      <c r="C45" s="188" t="s">
        <v>1726</v>
      </c>
      <c r="D45" s="224" t="s">
        <v>1678</v>
      </c>
      <c r="E45" s="225" t="s">
        <v>1679</v>
      </c>
      <c r="F45" s="225" t="s">
        <v>1673</v>
      </c>
      <c r="G45" s="225" t="s">
        <v>257</v>
      </c>
      <c r="H45" s="225" t="s">
        <v>1673</v>
      </c>
      <c r="I45" s="225" t="s">
        <v>1674</v>
      </c>
      <c r="J45" s="320" t="s">
        <v>256</v>
      </c>
      <c r="K45" s="224" t="s">
        <v>256</v>
      </c>
      <c r="L45" s="224" t="s">
        <v>256</v>
      </c>
      <c r="M45" s="224" t="s">
        <v>256</v>
      </c>
      <c r="N45" s="224" t="s">
        <v>256</v>
      </c>
      <c r="O45" s="320" t="s">
        <v>256</v>
      </c>
      <c r="P45" s="226" t="s">
        <v>256</v>
      </c>
      <c r="Q45" s="374">
        <v>14988</v>
      </c>
      <c r="R45" s="323" t="s">
        <v>1673</v>
      </c>
      <c r="S45" s="324" t="str">
        <f t="shared" si="0"/>
        <v>sûr</v>
      </c>
      <c r="T45" s="325" t="str">
        <f t="shared" si="1"/>
        <v>instable</v>
      </c>
      <c r="U45" s="228" t="s">
        <v>1673</v>
      </c>
      <c r="V45" s="228" t="s">
        <v>1673</v>
      </c>
      <c r="W45" s="228" t="s">
        <v>1673</v>
      </c>
      <c r="X45" s="229" t="s">
        <v>1673</v>
      </c>
      <c r="Y45" s="288" t="str">
        <f t="shared" si="2"/>
        <v>non</v>
      </c>
      <c r="Z45" s="328" t="str">
        <f t="shared" si="3"/>
        <v>élevé</v>
      </c>
      <c r="AA45" s="9"/>
      <c r="AB45" s="1"/>
      <c r="AC45" s="190">
        <f>_xlfn.XLOOKUP(E45&amp;F45&amp;G45&amp;H45&amp;I45&amp;J45&amp;K45&amp;L45&amp;M45&amp;N45&amp;O45&amp;P45,'[2]2.4 wsLookup'!$M$2:$M$96,'[2]2.4 wsLookup'!$N$2:$N$96,"Introuvable")</f>
        <v>1.5600000000000003E-5</v>
      </c>
      <c r="AD45" s="190">
        <f>_xlfn.XLOOKUP(E45&amp;F45&amp;G45&amp;H45&amp;I45&amp;J45&amp;K45&amp;L45&amp;M45&amp;N45&amp;O45&amp;P45,'[2]2.4 wsLookup'!$M$2:$M$96,'[2]2.4 wsLookup'!$O$2:$O$96,"Introuvable")</f>
        <v>1.1200000000000001</v>
      </c>
      <c r="AE45" s="90">
        <f t="shared" si="5"/>
        <v>0.74123774283924648</v>
      </c>
      <c r="AF45" s="206">
        <f>_xlfn.XLOOKUP(E45&amp;F45&amp;G45&amp;H45&amp;I45&amp;J45&amp;K45&amp;L45&amp;M45&amp;N45&amp;O45&amp;P45,'[2]2.4 wsLookup'!$M$2:$M$96,'[2]2.4 wsLookup'!$Q$2:$Q$96,"Introuvable")</f>
        <v>1.2077407737518886</v>
      </c>
      <c r="AG45" s="91">
        <f>_xlfn.XLOOKUP(E45&amp;F45&amp;G45&amp;H45&amp;I45&amp;J45&amp;K45&amp;L45&amp;M45&amp;N45&amp;O45&amp;P45,'[2]2.4 wsLookup'!$M$2:$M$96,'[2]2.4 wsLookup'!$P$2:$P$96,"Introuvable")</f>
        <v>0.05</v>
      </c>
      <c r="AH45" s="91">
        <f>_xlfn.XLOOKUP(E45&amp;F45&amp;G45&amp;H45&amp;I45&amp;J45&amp;K45&amp;L45&amp;M45&amp;N45&amp;O45&amp;P45,'[2]2.4 wsLookup'!$M$2:$M$96,'[2]2.4 wsLookup'!$R$2:$R$96,"Introuvable")</f>
        <v>5.3249999999999999E-2</v>
      </c>
      <c r="AI45" s="193">
        <f>_xlfn.XLOOKUP(E45&amp;F45&amp;G45&amp;H45&amp;I45&amp;J45&amp;K45&amp;L45&amp;M45&amp;N45&amp;O45&amp;P45,'[2]2.4 wsLookup'!$M$2:$M$96,'[2]2.4 wsLookup'!$S$2:$S$96,"Introuvable")</f>
        <v>11000</v>
      </c>
      <c r="AK45" t="str">
        <f t="shared" si="4"/>
        <v>en localité|non|3|non|oui|-|-|-|-|-|-|-</v>
      </c>
      <c r="AO45" t="s">
        <v>1727</v>
      </c>
    </row>
    <row r="46" spans="1:41" ht="39" customHeight="1">
      <c r="A46" s="1"/>
      <c r="B46" s="1"/>
      <c r="C46" s="188" t="s">
        <v>1728</v>
      </c>
      <c r="D46" s="224" t="s">
        <v>1678</v>
      </c>
      <c r="E46" s="225" t="s">
        <v>1679</v>
      </c>
      <c r="F46" s="225" t="s">
        <v>1673</v>
      </c>
      <c r="G46" s="225" t="s">
        <v>257</v>
      </c>
      <c r="H46" s="225" t="s">
        <v>1673</v>
      </c>
      <c r="I46" s="225" t="s">
        <v>1674</v>
      </c>
      <c r="J46" s="320" t="s">
        <v>256</v>
      </c>
      <c r="K46" s="224" t="s">
        <v>256</v>
      </c>
      <c r="L46" s="224" t="s">
        <v>256</v>
      </c>
      <c r="M46" s="224" t="s">
        <v>256</v>
      </c>
      <c r="N46" s="224" t="s">
        <v>256</v>
      </c>
      <c r="O46" s="320" t="s">
        <v>256</v>
      </c>
      <c r="P46" s="226" t="s">
        <v>256</v>
      </c>
      <c r="Q46" s="374">
        <v>14120</v>
      </c>
      <c r="R46" s="323" t="s">
        <v>1673</v>
      </c>
      <c r="S46" s="324" t="str">
        <f t="shared" si="0"/>
        <v>sûr</v>
      </c>
      <c r="T46" s="325" t="str">
        <f t="shared" si="1"/>
        <v>instable</v>
      </c>
      <c r="U46" s="228" t="s">
        <v>1673</v>
      </c>
      <c r="V46" s="228" t="s">
        <v>1673</v>
      </c>
      <c r="W46" s="228" t="s">
        <v>1674</v>
      </c>
      <c r="X46" s="229" t="s">
        <v>1673</v>
      </c>
      <c r="Y46" s="288" t="str">
        <f t="shared" si="2"/>
        <v>oui</v>
      </c>
      <c r="Z46" s="328" t="str">
        <f t="shared" si="3"/>
        <v>élevé</v>
      </c>
      <c r="AA46" s="9"/>
      <c r="AB46" s="1"/>
      <c r="AC46" s="190">
        <f>_xlfn.XLOOKUP(E46&amp;F46&amp;G46&amp;H46&amp;I46&amp;J46&amp;K46&amp;L46&amp;M46&amp;N46&amp;O46&amp;P46,'[2]2.4 wsLookup'!$M$2:$M$96,'[2]2.4 wsLookup'!$N$2:$N$96,"Introuvable")</f>
        <v>1.5600000000000003E-5</v>
      </c>
      <c r="AD46" s="190">
        <f>_xlfn.XLOOKUP(E46&amp;F46&amp;G46&amp;H46&amp;I46&amp;J46&amp;K46&amp;L46&amp;M46&amp;N46&amp;O46&amp;P46,'[2]2.4 wsLookup'!$M$2:$M$96,'[2]2.4 wsLookup'!$O$2:$O$96,"Introuvable")</f>
        <v>1.1200000000000001</v>
      </c>
      <c r="AE46" s="90">
        <f t="shared" si="5"/>
        <v>0.69332914812180613</v>
      </c>
      <c r="AF46" s="206">
        <f>_xlfn.XLOOKUP(E46&amp;F46&amp;G46&amp;H46&amp;I46&amp;J46&amp;K46&amp;L46&amp;M46&amp;N46&amp;O46&amp;P46,'[2]2.4 wsLookup'!$M$2:$M$96,'[2]2.4 wsLookup'!$Q$2:$Q$96,"Introuvable")</f>
        <v>1.2077407737518886</v>
      </c>
      <c r="AG46" s="91">
        <f>_xlfn.XLOOKUP(E46&amp;F46&amp;G46&amp;H46&amp;I46&amp;J46&amp;K46&amp;L46&amp;M46&amp;N46&amp;O46&amp;P46,'[2]2.4 wsLookup'!$M$2:$M$96,'[2]2.4 wsLookup'!$P$2:$P$96,"Introuvable")</f>
        <v>0.05</v>
      </c>
      <c r="AH46" s="91">
        <f>_xlfn.XLOOKUP(E46&amp;F46&amp;G46&amp;H46&amp;I46&amp;J46&amp;K46&amp;L46&amp;M46&amp;N46&amp;O46&amp;P46,'[2]2.4 wsLookup'!$M$2:$M$96,'[2]2.4 wsLookup'!$R$2:$R$96,"Introuvable")</f>
        <v>5.3249999999999999E-2</v>
      </c>
      <c r="AI46" s="193">
        <f>_xlfn.XLOOKUP(E46&amp;F46&amp;G46&amp;H46&amp;I46&amp;J46&amp;K46&amp;L46&amp;M46&amp;N46&amp;O46&amp;P46,'[2]2.4 wsLookup'!$M$2:$M$96,'[2]2.4 wsLookup'!$S$2:$S$96,"Introuvable")</f>
        <v>11000</v>
      </c>
      <c r="AK46" t="str">
        <f t="shared" si="4"/>
        <v>en localité|non|3|non|oui|-|-|-|-|-|-|-</v>
      </c>
      <c r="AO46" t="s">
        <v>1729</v>
      </c>
    </row>
    <row r="47" spans="1:41" ht="39" customHeight="1">
      <c r="A47" s="1"/>
      <c r="B47" s="1"/>
      <c r="C47" s="188" t="s">
        <v>1730</v>
      </c>
      <c r="D47" s="224" t="s">
        <v>1678</v>
      </c>
      <c r="E47" s="225" t="s">
        <v>1679</v>
      </c>
      <c r="F47" s="225" t="s">
        <v>1673</v>
      </c>
      <c r="G47" s="225" t="s">
        <v>257</v>
      </c>
      <c r="H47" s="225" t="s">
        <v>1674</v>
      </c>
      <c r="I47" s="225" t="s">
        <v>1673</v>
      </c>
      <c r="J47" s="320" t="s">
        <v>256</v>
      </c>
      <c r="K47" s="224" t="s">
        <v>256</v>
      </c>
      <c r="L47" s="224" t="s">
        <v>256</v>
      </c>
      <c r="M47" s="224" t="s">
        <v>256</v>
      </c>
      <c r="N47" s="224" t="s">
        <v>256</v>
      </c>
      <c r="O47" s="320" t="s">
        <v>256</v>
      </c>
      <c r="P47" s="226" t="s">
        <v>256</v>
      </c>
      <c r="Q47" s="374">
        <v>5299</v>
      </c>
      <c r="R47" s="323" t="s">
        <v>1673</v>
      </c>
      <c r="S47" s="324" t="str">
        <f t="shared" si="0"/>
        <v>sûr</v>
      </c>
      <c r="T47" s="325" t="str">
        <f t="shared" si="1"/>
        <v>fluide</v>
      </c>
      <c r="U47" s="228" t="s">
        <v>1673</v>
      </c>
      <c r="V47" s="228" t="s">
        <v>1673</v>
      </c>
      <c r="W47" s="228" t="s">
        <v>1673</v>
      </c>
      <c r="X47" s="229" t="s">
        <v>1673</v>
      </c>
      <c r="Y47" s="288" t="str">
        <f t="shared" si="2"/>
        <v>non</v>
      </c>
      <c r="Z47" s="328" t="str">
        <f t="shared" si="3"/>
        <v>faible</v>
      </c>
      <c r="AA47" s="9"/>
      <c r="AB47" s="1"/>
      <c r="AC47" s="190">
        <f>_xlfn.XLOOKUP(E47&amp;F47&amp;G47&amp;H47&amp;I47&amp;J47&amp;K47&amp;L47&amp;M47&amp;N47&amp;O47&amp;P47,'[2]2.4 wsLookup'!$M$2:$M$96,'[2]2.4 wsLookup'!$N$2:$N$96,"Introuvable")</f>
        <v>7.7400000000000006E-4</v>
      </c>
      <c r="AD47" s="190">
        <f>_xlfn.XLOOKUP(E47&amp;F47&amp;G47&amp;H47&amp;I47&amp;J47&amp;K47&amp;L47&amp;M47&amp;N47&amp;O47&amp;P47,'[2]2.4 wsLookup'!$M$2:$M$96,'[2]2.4 wsLookup'!$O$2:$O$96,"Introuvable")</f>
        <v>0.66</v>
      </c>
      <c r="AE47" s="90">
        <f t="shared" si="5"/>
        <v>0.22218203875508227</v>
      </c>
      <c r="AF47" s="206">
        <f>_xlfn.XLOOKUP(E47&amp;F47&amp;G47&amp;H47&amp;I47&amp;J47&amp;K47&amp;L47&amp;M47&amp;N47&amp;O47&amp;P47,'[2]2.4 wsLookup'!$M$2:$M$96,'[2]2.4 wsLookup'!$Q$2:$Q$96,"Introuvable")</f>
        <v>1.2077407737518886</v>
      </c>
      <c r="AG47" s="91">
        <f>_xlfn.XLOOKUP(E47&amp;F47&amp;G47&amp;H47&amp;I47&amp;J47&amp;K47&amp;L47&amp;M47&amp;N47&amp;O47&amp;P47,'[2]2.4 wsLookup'!$M$2:$M$96,'[2]2.4 wsLookup'!$P$2:$P$96,"Introuvable")</f>
        <v>2.8000000000000001E-2</v>
      </c>
      <c r="AH47" s="91">
        <f>_xlfn.XLOOKUP(E47&amp;F47&amp;G47&amp;H47&amp;I47&amp;J47&amp;K47&amp;L47&amp;M47&amp;N47&amp;O47&amp;P47,'[2]2.4 wsLookup'!$M$2:$M$96,'[2]2.4 wsLookup'!$R$2:$R$96,"Introuvable")</f>
        <v>5.3249999999999999E-2</v>
      </c>
      <c r="AI47" s="193">
        <f>_xlfn.XLOOKUP(E47&amp;F47&amp;G47&amp;H47&amp;I47&amp;J47&amp;K47&amp;L47&amp;M47&amp;N47&amp;O47&amp;P47,'[2]2.4 wsLookup'!$M$2:$M$96,'[2]2.4 wsLookup'!$S$2:$S$96,"Introuvable")</f>
        <v>28000</v>
      </c>
      <c r="AK47" t="str">
        <f t="shared" si="4"/>
        <v>en localité|non|3|oui|non|-|-|-|-|-|-|-</v>
      </c>
      <c r="AO47" t="s">
        <v>1731</v>
      </c>
    </row>
    <row r="48" spans="1:41" ht="39" customHeight="1">
      <c r="A48" s="1"/>
      <c r="B48" s="1"/>
      <c r="C48" s="188" t="s">
        <v>1732</v>
      </c>
      <c r="D48" s="224" t="s">
        <v>1678</v>
      </c>
      <c r="E48" s="225" t="s">
        <v>1679</v>
      </c>
      <c r="F48" s="225" t="s">
        <v>1673</v>
      </c>
      <c r="G48" s="225" t="s">
        <v>257</v>
      </c>
      <c r="H48" s="225" t="s">
        <v>1673</v>
      </c>
      <c r="I48" s="225" t="s">
        <v>1673</v>
      </c>
      <c r="J48" s="320" t="s">
        <v>256</v>
      </c>
      <c r="K48" s="224" t="s">
        <v>256</v>
      </c>
      <c r="L48" s="224" t="s">
        <v>256</v>
      </c>
      <c r="M48" s="224" t="s">
        <v>256</v>
      </c>
      <c r="N48" s="224" t="s">
        <v>256</v>
      </c>
      <c r="O48" s="320" t="s">
        <v>256</v>
      </c>
      <c r="P48" s="226" t="s">
        <v>256</v>
      </c>
      <c r="Q48" s="374">
        <v>5299</v>
      </c>
      <c r="R48" s="323" t="s">
        <v>1673</v>
      </c>
      <c r="S48" s="324" t="str">
        <f t="shared" si="0"/>
        <v>sûr</v>
      </c>
      <c r="T48" s="325" t="str">
        <f t="shared" si="1"/>
        <v>fluide</v>
      </c>
      <c r="U48" s="228" t="s">
        <v>1673</v>
      </c>
      <c r="V48" s="228" t="s">
        <v>1673</v>
      </c>
      <c r="W48" s="228" t="s">
        <v>1673</v>
      </c>
      <c r="X48" s="229" t="s">
        <v>1673</v>
      </c>
      <c r="Y48" s="288" t="str">
        <f t="shared" si="2"/>
        <v>non</v>
      </c>
      <c r="Z48" s="328" t="str">
        <f t="shared" si="3"/>
        <v>faible</v>
      </c>
      <c r="AA48" s="9"/>
      <c r="AB48" s="1"/>
      <c r="AC48" s="190">
        <f>_xlfn.XLOOKUP(E48&amp;F48&amp;G48&amp;H48&amp;I48&amp;J48&amp;K48&amp;L48&amp;M48&amp;N48&amp;O48&amp;P48,'[2]2.4 wsLookup'!$M$2:$M$96,'[2]2.4 wsLookup'!$N$2:$N$96,"Introuvable")</f>
        <v>8.5699999999999993E-6</v>
      </c>
      <c r="AD48" s="190">
        <f>_xlfn.XLOOKUP(E48&amp;F48&amp;G48&amp;H48&amp;I48&amp;J48&amp;K48&amp;L48&amp;M48&amp;N48&amp;O48&amp;P48,'[2]2.4 wsLookup'!$M$2:$M$96,'[2]2.4 wsLookup'!$O$2:$O$96,"Introuvable")</f>
        <v>1.1200000000000001</v>
      </c>
      <c r="AE48" s="90">
        <f t="shared" si="5"/>
        <v>0.12708023573592253</v>
      </c>
      <c r="AF48" s="206">
        <f>_xlfn.XLOOKUP(E48&amp;F48&amp;G48&amp;H48&amp;I48&amp;J48&amp;K48&amp;L48&amp;M48&amp;N48&amp;O48&amp;P48,'[2]2.4 wsLookup'!$M$2:$M$96,'[2]2.4 wsLookup'!$Q$2:$Q$96,"Introuvable")</f>
        <v>1.2077407737518886</v>
      </c>
      <c r="AG48" s="91">
        <f>_xlfn.XLOOKUP(E48&amp;F48&amp;G48&amp;H48&amp;I48&amp;J48&amp;K48&amp;L48&amp;M48&amp;N48&amp;O48&amp;P48,'[2]2.4 wsLookup'!$M$2:$M$96,'[2]2.4 wsLookup'!$P$2:$P$96,"Introuvable")</f>
        <v>0.05</v>
      </c>
      <c r="AH48" s="91">
        <f>_xlfn.XLOOKUP(E48&amp;F48&amp;G48&amp;H48&amp;I48&amp;J48&amp;K48&amp;L48&amp;M48&amp;N48&amp;O48&amp;P48,'[2]2.4 wsLookup'!$M$2:$M$96,'[2]2.4 wsLookup'!$R$2:$R$96,"Introuvable")</f>
        <v>5.3249999999999999E-2</v>
      </c>
      <c r="AI48" s="193">
        <f>_xlfn.XLOOKUP(E48&amp;F48&amp;G48&amp;H48&amp;I48&amp;J48&amp;K48&amp;L48&amp;M48&amp;N48&amp;O48&amp;P48,'[2]2.4 wsLookup'!$M$2:$M$96,'[2]2.4 wsLookup'!$S$2:$S$96,"Introuvable")</f>
        <v>12000</v>
      </c>
      <c r="AK48" t="str">
        <f t="shared" si="4"/>
        <v>en localité|non|3|non|non|-|-|-|-|-|-|-</v>
      </c>
      <c r="AO48" t="s">
        <v>1733</v>
      </c>
    </row>
    <row r="49" spans="1:41" ht="39" customHeight="1">
      <c r="A49" s="1"/>
      <c r="B49" s="1"/>
      <c r="C49" s="188" t="s">
        <v>1734</v>
      </c>
      <c r="D49" s="224" t="s">
        <v>1678</v>
      </c>
      <c r="E49" s="225" t="s">
        <v>1679</v>
      </c>
      <c r="F49" s="225" t="s">
        <v>1673</v>
      </c>
      <c r="G49" s="225" t="s">
        <v>257</v>
      </c>
      <c r="H49" s="225" t="s">
        <v>1673</v>
      </c>
      <c r="I49" s="225" t="s">
        <v>1673</v>
      </c>
      <c r="J49" s="320" t="s">
        <v>256</v>
      </c>
      <c r="K49" s="224" t="s">
        <v>256</v>
      </c>
      <c r="L49" s="224" t="s">
        <v>256</v>
      </c>
      <c r="M49" s="224" t="s">
        <v>256</v>
      </c>
      <c r="N49" s="224" t="s">
        <v>256</v>
      </c>
      <c r="O49" s="320" t="s">
        <v>256</v>
      </c>
      <c r="P49" s="226" t="s">
        <v>256</v>
      </c>
      <c r="Q49" s="374">
        <v>6457</v>
      </c>
      <c r="R49" s="323" t="s">
        <v>1673</v>
      </c>
      <c r="S49" s="324" t="str">
        <f t="shared" si="0"/>
        <v>sûr</v>
      </c>
      <c r="T49" s="325" t="str">
        <f t="shared" si="1"/>
        <v>fluide</v>
      </c>
      <c r="U49" s="228" t="s">
        <v>1673</v>
      </c>
      <c r="V49" s="228" t="s">
        <v>1673</v>
      </c>
      <c r="W49" s="228" t="s">
        <v>1673</v>
      </c>
      <c r="X49" s="229" t="s">
        <v>1673</v>
      </c>
      <c r="Y49" s="288" t="str">
        <f t="shared" si="2"/>
        <v>non</v>
      </c>
      <c r="Z49" s="328" t="str">
        <f t="shared" si="3"/>
        <v>faible</v>
      </c>
      <c r="AA49" s="9"/>
      <c r="AB49" s="1"/>
      <c r="AC49" s="190">
        <f>_xlfn.XLOOKUP(E49&amp;F49&amp;G49&amp;H49&amp;I49&amp;J49&amp;K49&amp;L49&amp;M49&amp;N49&amp;O49&amp;P49,'[2]2.4 wsLookup'!$M$2:$M$96,'[2]2.4 wsLookup'!$N$2:$N$96,"Introuvable")</f>
        <v>8.5699999999999993E-6</v>
      </c>
      <c r="AD49" s="190">
        <f>_xlfn.XLOOKUP(E49&amp;F49&amp;G49&amp;H49&amp;I49&amp;J49&amp;K49&amp;L49&amp;M49&amp;N49&amp;O49&amp;P49,'[2]2.4 wsLookup'!$M$2:$M$96,'[2]2.4 wsLookup'!$O$2:$O$96,"Introuvable")</f>
        <v>1.1200000000000001</v>
      </c>
      <c r="AE49" s="90">
        <f t="shared" si="5"/>
        <v>0.1585679102463356</v>
      </c>
      <c r="AF49" s="206">
        <f>_xlfn.XLOOKUP(E49&amp;F49&amp;G49&amp;H49&amp;I49&amp;J49&amp;K49&amp;L49&amp;M49&amp;N49&amp;O49&amp;P49,'[2]2.4 wsLookup'!$M$2:$M$96,'[2]2.4 wsLookup'!$Q$2:$Q$96,"Introuvable")</f>
        <v>1.2077407737518886</v>
      </c>
      <c r="AG49" s="91">
        <f>_xlfn.XLOOKUP(E49&amp;F49&amp;G49&amp;H49&amp;I49&amp;J49&amp;K49&amp;L49&amp;M49&amp;N49&amp;O49&amp;P49,'[2]2.4 wsLookup'!$M$2:$M$96,'[2]2.4 wsLookup'!$P$2:$P$96,"Introuvable")</f>
        <v>0.05</v>
      </c>
      <c r="AH49" s="91">
        <f>_xlfn.XLOOKUP(E49&amp;F49&amp;G49&amp;H49&amp;I49&amp;J49&amp;K49&amp;L49&amp;M49&amp;N49&amp;O49&amp;P49,'[2]2.4 wsLookup'!$M$2:$M$96,'[2]2.4 wsLookup'!$R$2:$R$96,"Introuvable")</f>
        <v>5.3249999999999999E-2</v>
      </c>
      <c r="AI49" s="193">
        <f>_xlfn.XLOOKUP(E49&amp;F49&amp;G49&amp;H49&amp;I49&amp;J49&amp;K49&amp;L49&amp;M49&amp;N49&amp;O49&amp;P49,'[2]2.4 wsLookup'!$M$2:$M$96,'[2]2.4 wsLookup'!$S$2:$S$96,"Introuvable")</f>
        <v>12000</v>
      </c>
      <c r="AK49" t="str">
        <f t="shared" si="4"/>
        <v>en localité|non|3|non|non|-|-|-|-|-|-|-</v>
      </c>
      <c r="AO49" t="s">
        <v>1696</v>
      </c>
    </row>
    <row r="50" spans="1:41" ht="39" customHeight="1">
      <c r="A50" s="1"/>
      <c r="B50" s="1"/>
      <c r="C50" s="188" t="s">
        <v>1735</v>
      </c>
      <c r="D50" s="224" t="s">
        <v>1678</v>
      </c>
      <c r="E50" s="225" t="s">
        <v>1679</v>
      </c>
      <c r="F50" s="225" t="s">
        <v>1673</v>
      </c>
      <c r="G50" s="225" t="s">
        <v>257</v>
      </c>
      <c r="H50" s="225" t="s">
        <v>1673</v>
      </c>
      <c r="I50" s="225" t="s">
        <v>1673</v>
      </c>
      <c r="J50" s="320" t="s">
        <v>256</v>
      </c>
      <c r="K50" s="224" t="s">
        <v>256</v>
      </c>
      <c r="L50" s="224" t="s">
        <v>256</v>
      </c>
      <c r="M50" s="224" t="s">
        <v>256</v>
      </c>
      <c r="N50" s="224" t="s">
        <v>256</v>
      </c>
      <c r="O50" s="320" t="s">
        <v>256</v>
      </c>
      <c r="P50" s="226" t="s">
        <v>256</v>
      </c>
      <c r="Q50" s="374">
        <v>7456</v>
      </c>
      <c r="R50" s="323" t="s">
        <v>1673</v>
      </c>
      <c r="S50" s="324" t="str">
        <f t="shared" si="0"/>
        <v>sûr</v>
      </c>
      <c r="T50" s="325" t="str">
        <f t="shared" si="1"/>
        <v>fluide</v>
      </c>
      <c r="U50" s="228" t="s">
        <v>1673</v>
      </c>
      <c r="V50" s="228" t="s">
        <v>1673</v>
      </c>
      <c r="W50" s="228" t="s">
        <v>1673</v>
      </c>
      <c r="X50" s="229" t="s">
        <v>1673</v>
      </c>
      <c r="Y50" s="288" t="str">
        <f t="shared" si="2"/>
        <v>non</v>
      </c>
      <c r="Z50" s="328" t="str">
        <f t="shared" si="3"/>
        <v>faible</v>
      </c>
      <c r="AA50" s="9"/>
      <c r="AB50" s="1"/>
      <c r="AC50" s="190">
        <f>_xlfn.XLOOKUP(E50&amp;F50&amp;G50&amp;H50&amp;I50&amp;J50&amp;K50&amp;L50&amp;M50&amp;N50&amp;O50&amp;P50,'[2]2.4 wsLookup'!$M$2:$M$96,'[2]2.4 wsLookup'!$N$2:$N$96,"Introuvable")</f>
        <v>8.5699999999999993E-6</v>
      </c>
      <c r="AD50" s="190">
        <f>_xlfn.XLOOKUP(E50&amp;F50&amp;G50&amp;H50&amp;I50&amp;J50&amp;K50&amp;L50&amp;M50&amp;N50&amp;O50&amp;P50,'[2]2.4 wsLookup'!$M$2:$M$96,'[2]2.4 wsLookup'!$O$2:$O$96,"Introuvable")</f>
        <v>1.1200000000000001</v>
      </c>
      <c r="AE50" s="90">
        <f t="shared" si="5"/>
        <v>0.18628909341357736</v>
      </c>
      <c r="AF50" s="206">
        <f>_xlfn.XLOOKUP(E50&amp;F50&amp;G50&amp;H50&amp;I50&amp;J50&amp;K50&amp;L50&amp;M50&amp;N50&amp;O50&amp;P50,'[2]2.4 wsLookup'!$M$2:$M$96,'[2]2.4 wsLookup'!$Q$2:$Q$96,"Introuvable")</f>
        <v>1.2077407737518886</v>
      </c>
      <c r="AG50" s="91">
        <f>_xlfn.XLOOKUP(E50&amp;F50&amp;G50&amp;H50&amp;I50&amp;J50&amp;K50&amp;L50&amp;M50&amp;N50&amp;O50&amp;P50,'[2]2.4 wsLookup'!$M$2:$M$96,'[2]2.4 wsLookup'!$P$2:$P$96,"Introuvable")</f>
        <v>0.05</v>
      </c>
      <c r="AH50" s="91">
        <f>_xlfn.XLOOKUP(E50&amp;F50&amp;G50&amp;H50&amp;I50&amp;J50&amp;K50&amp;L50&amp;M50&amp;N50&amp;O50&amp;P50,'[2]2.4 wsLookup'!$M$2:$M$96,'[2]2.4 wsLookup'!$R$2:$R$96,"Introuvable")</f>
        <v>5.3249999999999999E-2</v>
      </c>
      <c r="AI50" s="193">
        <f>_xlfn.XLOOKUP(E50&amp;F50&amp;G50&amp;H50&amp;I50&amp;J50&amp;K50&amp;L50&amp;M50&amp;N50&amp;O50&amp;P50,'[2]2.4 wsLookup'!$M$2:$M$96,'[2]2.4 wsLookup'!$S$2:$S$96,"Introuvable")</f>
        <v>12000</v>
      </c>
      <c r="AK50" t="str">
        <f t="shared" si="4"/>
        <v>en localité|non|3|non|non|-|-|-|-|-|-|-</v>
      </c>
      <c r="AO50" t="s">
        <v>1696</v>
      </c>
    </row>
    <row r="51" spans="1:41" ht="39" customHeight="1">
      <c r="A51" s="1"/>
      <c r="B51" s="1"/>
      <c r="C51" s="188" t="s">
        <v>1736</v>
      </c>
      <c r="D51" s="224" t="s">
        <v>1678</v>
      </c>
      <c r="E51" s="225" t="s">
        <v>1679</v>
      </c>
      <c r="F51" s="225" t="s">
        <v>1673</v>
      </c>
      <c r="G51" s="225" t="s">
        <v>255</v>
      </c>
      <c r="H51" s="225" t="s">
        <v>1673</v>
      </c>
      <c r="I51" s="225" t="s">
        <v>1673</v>
      </c>
      <c r="J51" s="320" t="s">
        <v>256</v>
      </c>
      <c r="K51" s="224" t="s">
        <v>256</v>
      </c>
      <c r="L51" s="224" t="s">
        <v>256</v>
      </c>
      <c r="M51" s="224" t="s">
        <v>256</v>
      </c>
      <c r="N51" s="224" t="s">
        <v>256</v>
      </c>
      <c r="O51" s="320" t="s">
        <v>256</v>
      </c>
      <c r="P51" s="226" t="s">
        <v>256</v>
      </c>
      <c r="Q51" s="374">
        <v>7456</v>
      </c>
      <c r="R51" s="323" t="s">
        <v>1673</v>
      </c>
      <c r="S51" s="324" t="str">
        <f t="shared" si="0"/>
        <v>acceptable</v>
      </c>
      <c r="T51" s="325" t="str">
        <f t="shared" si="1"/>
        <v>fluide</v>
      </c>
      <c r="U51" s="228" t="s">
        <v>1673</v>
      </c>
      <c r="V51" s="228" t="s">
        <v>1673</v>
      </c>
      <c r="W51" s="228" t="s">
        <v>1673</v>
      </c>
      <c r="X51" s="229" t="s">
        <v>1674</v>
      </c>
      <c r="Y51" s="288" t="str">
        <f t="shared" si="2"/>
        <v>oui</v>
      </c>
      <c r="Z51" s="328" t="str">
        <f t="shared" si="3"/>
        <v>élevé</v>
      </c>
      <c r="AA51" s="9"/>
      <c r="AB51" s="1"/>
      <c r="AC51" s="190">
        <f>_xlfn.XLOOKUP(E51&amp;F51&amp;G51&amp;H51&amp;I51&amp;J51&amp;K51&amp;L51&amp;M51&amp;N51&amp;O51&amp;P51,'[2]2.4 wsLookup'!$M$2:$M$96,'[2]2.4 wsLookup'!$N$2:$N$96,"Introuvable")</f>
        <v>1.27E-5</v>
      </c>
      <c r="AD51" s="190">
        <f>_xlfn.XLOOKUP(E51&amp;F51&amp;G51&amp;H51&amp;I51&amp;J51&amp;K51&amp;L51&amp;M51&amp;N51&amp;O51&amp;P51,'[2]2.4 wsLookup'!$M$2:$M$96,'[2]2.4 wsLookup'!$O$2:$O$96,"Introuvable")</f>
        <v>1.1200000000000001</v>
      </c>
      <c r="AE51" s="90">
        <f t="shared" si="5"/>
        <v>0.27606435079958375</v>
      </c>
      <c r="AF51" s="206">
        <f>_xlfn.XLOOKUP(E51&amp;F51&amp;G51&amp;H51&amp;I51&amp;J51&amp;K51&amp;L51&amp;M51&amp;N51&amp;O51&amp;P51,'[2]2.4 wsLookup'!$M$2:$M$96,'[2]2.4 wsLookup'!$Q$2:$Q$96,"Introuvable")</f>
        <v>1.2077407737518886</v>
      </c>
      <c r="AG51" s="91">
        <f>_xlfn.XLOOKUP(E51&amp;F51&amp;G51&amp;H51&amp;I51&amp;J51&amp;K51&amp;L51&amp;M51&amp;N51&amp;O51&amp;P51,'[2]2.4 wsLookup'!$M$2:$M$96,'[2]2.4 wsLookup'!$P$2:$P$96,"Introuvable")</f>
        <v>5.7000000000000002E-2</v>
      </c>
      <c r="AH51" s="91">
        <f>_xlfn.XLOOKUP(E51&amp;F51&amp;G51&amp;H51&amp;I51&amp;J51&amp;K51&amp;L51&amp;M51&amp;N51&amp;O51&amp;P51,'[2]2.4 wsLookup'!$M$2:$M$96,'[2]2.4 wsLookup'!$R$2:$R$96,"Introuvable")</f>
        <v>5.3249999999999999E-2</v>
      </c>
      <c r="AI51" s="193">
        <f>_xlfn.XLOOKUP(E51&amp;F51&amp;G51&amp;H51&amp;I51&amp;J51&amp;K51&amp;L51&amp;M51&amp;N51&amp;O51&amp;P51,'[2]2.4 wsLookup'!$M$2:$M$96,'[2]2.4 wsLookup'!$S$2:$S$96,"Introuvable")</f>
        <v>14000</v>
      </c>
      <c r="AK51" t="str">
        <f t="shared" si="4"/>
        <v>en localité|non|&gt;3|non|non|-|-|-|-|-|-|-</v>
      </c>
      <c r="AO51" t="s">
        <v>1737</v>
      </c>
    </row>
    <row r="52" spans="1:41" ht="39" customHeight="1">
      <c r="A52" s="1"/>
      <c r="B52" s="1"/>
      <c r="C52" s="188" t="s">
        <v>1738</v>
      </c>
      <c r="D52" s="224" t="s">
        <v>1678</v>
      </c>
      <c r="E52" s="225" t="s">
        <v>1679</v>
      </c>
      <c r="F52" s="225" t="s">
        <v>1673</v>
      </c>
      <c r="G52" s="225" t="s">
        <v>255</v>
      </c>
      <c r="H52" s="225" t="s">
        <v>1673</v>
      </c>
      <c r="I52" s="225" t="s">
        <v>1673</v>
      </c>
      <c r="J52" s="320" t="s">
        <v>256</v>
      </c>
      <c r="K52" s="224" t="s">
        <v>256</v>
      </c>
      <c r="L52" s="224" t="s">
        <v>256</v>
      </c>
      <c r="M52" s="224" t="s">
        <v>256</v>
      </c>
      <c r="N52" s="224" t="s">
        <v>256</v>
      </c>
      <c r="O52" s="320" t="s">
        <v>256</v>
      </c>
      <c r="P52" s="226" t="s">
        <v>256</v>
      </c>
      <c r="Q52" s="374">
        <v>6956</v>
      </c>
      <c r="R52" s="323" t="s">
        <v>1673</v>
      </c>
      <c r="S52" s="324" t="str">
        <f t="shared" si="0"/>
        <v>acceptable</v>
      </c>
      <c r="T52" s="325" t="str">
        <f t="shared" si="1"/>
        <v>fluide</v>
      </c>
      <c r="U52" s="228" t="s">
        <v>1673</v>
      </c>
      <c r="V52" s="228" t="s">
        <v>1673</v>
      </c>
      <c r="W52" s="228" t="s">
        <v>1673</v>
      </c>
      <c r="X52" s="229" t="s">
        <v>1673</v>
      </c>
      <c r="Y52" s="288" t="str">
        <f t="shared" si="2"/>
        <v>non</v>
      </c>
      <c r="Z52" s="328" t="str">
        <f t="shared" si="3"/>
        <v>moyen</v>
      </c>
      <c r="AA52" s="9"/>
      <c r="AB52" s="1"/>
      <c r="AC52" s="190">
        <f>_xlfn.XLOOKUP(E52&amp;F52&amp;G52&amp;H52&amp;I52&amp;J52&amp;K52&amp;L52&amp;M52&amp;N52&amp;O52&amp;P52,'[2]2.4 wsLookup'!$M$2:$M$96,'[2]2.4 wsLookup'!$N$2:$N$96,"Introuvable")</f>
        <v>1.27E-5</v>
      </c>
      <c r="AD52" s="190">
        <f>_xlfn.XLOOKUP(E52&amp;F52&amp;G52&amp;H52&amp;I52&amp;J52&amp;K52&amp;L52&amp;M52&amp;N52&amp;O52&amp;P52,'[2]2.4 wsLookup'!$M$2:$M$96,'[2]2.4 wsLookup'!$O$2:$O$96,"Introuvable")</f>
        <v>1.1200000000000001</v>
      </c>
      <c r="AE52" s="90">
        <f t="shared" si="5"/>
        <v>0.25541502598539828</v>
      </c>
      <c r="AF52" s="206">
        <f>_xlfn.XLOOKUP(E52&amp;F52&amp;G52&amp;H52&amp;I52&amp;J52&amp;K52&amp;L52&amp;M52&amp;N52&amp;O52&amp;P52,'[2]2.4 wsLookup'!$M$2:$M$96,'[2]2.4 wsLookup'!$Q$2:$Q$96,"Introuvable")</f>
        <v>1.2077407737518886</v>
      </c>
      <c r="AG52" s="91">
        <f>_xlfn.XLOOKUP(E52&amp;F52&amp;G52&amp;H52&amp;I52&amp;J52&amp;K52&amp;L52&amp;M52&amp;N52&amp;O52&amp;P52,'[2]2.4 wsLookup'!$M$2:$M$96,'[2]2.4 wsLookup'!$P$2:$P$96,"Introuvable")</f>
        <v>5.7000000000000002E-2</v>
      </c>
      <c r="AH52" s="91">
        <f>_xlfn.XLOOKUP(E52&amp;F52&amp;G52&amp;H52&amp;I52&amp;J52&amp;K52&amp;L52&amp;M52&amp;N52&amp;O52&amp;P52,'[2]2.4 wsLookup'!$M$2:$M$96,'[2]2.4 wsLookup'!$R$2:$R$96,"Introuvable")</f>
        <v>5.3249999999999999E-2</v>
      </c>
      <c r="AI52" s="193">
        <f>_xlfn.XLOOKUP(E52&amp;F52&amp;G52&amp;H52&amp;I52&amp;J52&amp;K52&amp;L52&amp;M52&amp;N52&amp;O52&amp;P52,'[2]2.4 wsLookup'!$M$2:$M$96,'[2]2.4 wsLookup'!$S$2:$S$96,"Introuvable")</f>
        <v>14000</v>
      </c>
      <c r="AK52" t="str">
        <f t="shared" si="4"/>
        <v>en localité|non|&gt;3|non|non|-|-|-|-|-|-|-</v>
      </c>
      <c r="AO52" t="s">
        <v>1739</v>
      </c>
    </row>
    <row r="53" spans="1:41" ht="39" customHeight="1">
      <c r="A53" s="1"/>
      <c r="B53" s="1"/>
      <c r="C53" s="188" t="s">
        <v>1740</v>
      </c>
      <c r="D53" s="224" t="s">
        <v>1678</v>
      </c>
      <c r="E53" s="225" t="s">
        <v>1679</v>
      </c>
      <c r="F53" s="225" t="s">
        <v>1673</v>
      </c>
      <c r="G53" s="225" t="s">
        <v>255</v>
      </c>
      <c r="H53" s="225" t="s">
        <v>1673</v>
      </c>
      <c r="I53" s="225" t="s">
        <v>1673</v>
      </c>
      <c r="J53" s="320" t="s">
        <v>256</v>
      </c>
      <c r="K53" s="224" t="s">
        <v>256</v>
      </c>
      <c r="L53" s="224" t="s">
        <v>256</v>
      </c>
      <c r="M53" s="224" t="s">
        <v>256</v>
      </c>
      <c r="N53" s="224" t="s">
        <v>256</v>
      </c>
      <c r="O53" s="320" t="s">
        <v>256</v>
      </c>
      <c r="P53" s="226" t="s">
        <v>256</v>
      </c>
      <c r="Q53" s="374">
        <v>6457</v>
      </c>
      <c r="R53" s="323" t="s">
        <v>1673</v>
      </c>
      <c r="S53" s="324" t="str">
        <f t="shared" si="0"/>
        <v>acceptable</v>
      </c>
      <c r="T53" s="325" t="str">
        <f t="shared" si="1"/>
        <v>fluide</v>
      </c>
      <c r="U53" s="228" t="s">
        <v>1673</v>
      </c>
      <c r="V53" s="228" t="s">
        <v>1673</v>
      </c>
      <c r="W53" s="228" t="s">
        <v>1673</v>
      </c>
      <c r="X53" s="229" t="s">
        <v>1673</v>
      </c>
      <c r="Y53" s="288" t="str">
        <f t="shared" si="2"/>
        <v>non</v>
      </c>
      <c r="Z53" s="328" t="str">
        <f t="shared" si="3"/>
        <v>moyen</v>
      </c>
      <c r="AA53" s="9"/>
      <c r="AB53" s="1"/>
      <c r="AC53" s="190">
        <f>_xlfn.XLOOKUP(E53&amp;F53&amp;G53&amp;H53&amp;I53&amp;J53&amp;K53&amp;L53&amp;M53&amp;N53&amp;O53&amp;P53,'[2]2.4 wsLookup'!$M$2:$M$96,'[2]2.4 wsLookup'!$N$2:$N$96,"Introuvable")</f>
        <v>1.27E-5</v>
      </c>
      <c r="AD53" s="190">
        <f>_xlfn.XLOOKUP(E53&amp;F53&amp;G53&amp;H53&amp;I53&amp;J53&amp;K53&amp;L53&amp;M53&amp;N53&amp;O53&amp;P53,'[2]2.4 wsLookup'!$M$2:$M$96,'[2]2.4 wsLookup'!$O$2:$O$96,"Introuvable")</f>
        <v>1.1200000000000001</v>
      </c>
      <c r="AE53" s="90">
        <f t="shared" si="5"/>
        <v>0.23498395100682173</v>
      </c>
      <c r="AF53" s="206">
        <f>_xlfn.XLOOKUP(E53&amp;F53&amp;G53&amp;H53&amp;I53&amp;J53&amp;K53&amp;L53&amp;M53&amp;N53&amp;O53&amp;P53,'[2]2.4 wsLookup'!$M$2:$M$96,'[2]2.4 wsLookup'!$Q$2:$Q$96,"Introuvable")</f>
        <v>1.2077407737518886</v>
      </c>
      <c r="AG53" s="91">
        <f>_xlfn.XLOOKUP(E53&amp;F53&amp;G53&amp;H53&amp;I53&amp;J53&amp;K53&amp;L53&amp;M53&amp;N53&amp;O53&amp;P53,'[2]2.4 wsLookup'!$M$2:$M$96,'[2]2.4 wsLookup'!$P$2:$P$96,"Introuvable")</f>
        <v>5.7000000000000002E-2</v>
      </c>
      <c r="AH53" s="91">
        <f>_xlfn.XLOOKUP(E53&amp;F53&amp;G53&amp;H53&amp;I53&amp;J53&amp;K53&amp;L53&amp;M53&amp;N53&amp;O53&amp;P53,'[2]2.4 wsLookup'!$M$2:$M$96,'[2]2.4 wsLookup'!$R$2:$R$96,"Introuvable")</f>
        <v>5.3249999999999999E-2</v>
      </c>
      <c r="AI53" s="193">
        <f>_xlfn.XLOOKUP(E53&amp;F53&amp;G53&amp;H53&amp;I53&amp;J53&amp;K53&amp;L53&amp;M53&amp;N53&amp;O53&amp;P53,'[2]2.4 wsLookup'!$M$2:$M$96,'[2]2.4 wsLookup'!$S$2:$S$96,"Introuvable")</f>
        <v>14000</v>
      </c>
      <c r="AK53" t="str">
        <f t="shared" si="4"/>
        <v>en localité|non|&gt;3|non|non|-|-|-|-|-|-|-</v>
      </c>
      <c r="AO53" t="s">
        <v>1739</v>
      </c>
    </row>
    <row r="54" spans="1:41" ht="39" customHeight="1">
      <c r="A54" s="1"/>
      <c r="B54" s="1"/>
      <c r="C54" s="188" t="s">
        <v>1741</v>
      </c>
      <c r="D54" s="224" t="s">
        <v>1678</v>
      </c>
      <c r="E54" s="225" t="s">
        <v>1679</v>
      </c>
      <c r="F54" s="225" t="s">
        <v>1673</v>
      </c>
      <c r="G54" s="225" t="s">
        <v>257</v>
      </c>
      <c r="H54" s="225" t="s">
        <v>1673</v>
      </c>
      <c r="I54" s="225" t="s">
        <v>1673</v>
      </c>
      <c r="J54" s="320" t="s">
        <v>256</v>
      </c>
      <c r="K54" s="224" t="s">
        <v>256</v>
      </c>
      <c r="L54" s="224" t="s">
        <v>256</v>
      </c>
      <c r="M54" s="224" t="s">
        <v>256</v>
      </c>
      <c r="N54" s="224" t="s">
        <v>256</v>
      </c>
      <c r="O54" s="320" t="s">
        <v>256</v>
      </c>
      <c r="P54" s="226" t="s">
        <v>256</v>
      </c>
      <c r="Q54" s="374">
        <v>6457</v>
      </c>
      <c r="R54" s="323" t="s">
        <v>1673</v>
      </c>
      <c r="S54" s="324" t="str">
        <f t="shared" si="0"/>
        <v>sûr</v>
      </c>
      <c r="T54" s="325" t="str">
        <f t="shared" si="1"/>
        <v>fluide</v>
      </c>
      <c r="U54" s="228" t="s">
        <v>1673</v>
      </c>
      <c r="V54" s="228" t="s">
        <v>1673</v>
      </c>
      <c r="W54" s="228" t="s">
        <v>1673</v>
      </c>
      <c r="X54" s="229" t="s">
        <v>1673</v>
      </c>
      <c r="Y54" s="288" t="str">
        <f t="shared" si="2"/>
        <v>non</v>
      </c>
      <c r="Z54" s="328" t="str">
        <f t="shared" si="3"/>
        <v>faible</v>
      </c>
      <c r="AA54" s="9"/>
      <c r="AB54" s="1"/>
      <c r="AC54" s="190">
        <f>_xlfn.XLOOKUP(E54&amp;F54&amp;G54&amp;H54&amp;I54&amp;J54&amp;K54&amp;L54&amp;M54&amp;N54&amp;O54&amp;P54,'[2]2.4 wsLookup'!$M$2:$M$96,'[2]2.4 wsLookup'!$N$2:$N$96,"Introuvable")</f>
        <v>8.5699999999999993E-6</v>
      </c>
      <c r="AD54" s="190">
        <f>_xlfn.XLOOKUP(E54&amp;F54&amp;G54&amp;H54&amp;I54&amp;J54&amp;K54&amp;L54&amp;M54&amp;N54&amp;O54&amp;P54,'[2]2.4 wsLookup'!$M$2:$M$96,'[2]2.4 wsLookup'!$O$2:$O$96,"Introuvable")</f>
        <v>1.1200000000000001</v>
      </c>
      <c r="AE54" s="90">
        <f t="shared" si="5"/>
        <v>0.1585679102463356</v>
      </c>
      <c r="AF54" s="206">
        <f>_xlfn.XLOOKUP(E54&amp;F54&amp;G54&amp;H54&amp;I54&amp;J54&amp;K54&amp;L54&amp;M54&amp;N54&amp;O54&amp;P54,'[2]2.4 wsLookup'!$M$2:$M$96,'[2]2.4 wsLookup'!$Q$2:$Q$96,"Introuvable")</f>
        <v>1.2077407737518886</v>
      </c>
      <c r="AG54" s="91">
        <f>_xlfn.XLOOKUP(E54&amp;F54&amp;G54&amp;H54&amp;I54&amp;J54&amp;K54&amp;L54&amp;M54&amp;N54&amp;O54&amp;P54,'[2]2.4 wsLookup'!$M$2:$M$96,'[2]2.4 wsLookup'!$P$2:$P$96,"Introuvable")</f>
        <v>0.05</v>
      </c>
      <c r="AH54" s="91">
        <f>_xlfn.XLOOKUP(E54&amp;F54&amp;G54&amp;H54&amp;I54&amp;J54&amp;K54&amp;L54&amp;M54&amp;N54&amp;O54&amp;P54,'[2]2.4 wsLookup'!$M$2:$M$96,'[2]2.4 wsLookup'!$R$2:$R$96,"Introuvable")</f>
        <v>5.3249999999999999E-2</v>
      </c>
      <c r="AI54" s="193">
        <f>_xlfn.XLOOKUP(E54&amp;F54&amp;G54&amp;H54&amp;I54&amp;J54&amp;K54&amp;L54&amp;M54&amp;N54&amp;O54&amp;P54,'[2]2.4 wsLookup'!$M$2:$M$96,'[2]2.4 wsLookup'!$S$2:$S$96,"Introuvable")</f>
        <v>12000</v>
      </c>
      <c r="AK54" t="str">
        <f t="shared" si="4"/>
        <v>en localité|non|3|non|non|-|-|-|-|-|-|-</v>
      </c>
      <c r="AO54" t="s">
        <v>1696</v>
      </c>
    </row>
    <row r="55" spans="1:41" ht="39" customHeight="1">
      <c r="A55" s="1"/>
      <c r="B55" s="1"/>
      <c r="C55" s="188" t="s">
        <v>1742</v>
      </c>
      <c r="D55" s="224" t="s">
        <v>1678</v>
      </c>
      <c r="E55" s="225" t="s">
        <v>1679</v>
      </c>
      <c r="F55" s="225" t="s">
        <v>1673</v>
      </c>
      <c r="G55" s="225" t="s">
        <v>257</v>
      </c>
      <c r="H55" s="225" t="s">
        <v>1673</v>
      </c>
      <c r="I55" s="225" t="s">
        <v>1673</v>
      </c>
      <c r="J55" s="320" t="s">
        <v>256</v>
      </c>
      <c r="K55" s="224" t="s">
        <v>256</v>
      </c>
      <c r="L55" s="224" t="s">
        <v>256</v>
      </c>
      <c r="M55" s="224" t="s">
        <v>256</v>
      </c>
      <c r="N55" s="224" t="s">
        <v>256</v>
      </c>
      <c r="O55" s="320" t="s">
        <v>256</v>
      </c>
      <c r="P55" s="226" t="s">
        <v>256</v>
      </c>
      <c r="Q55" s="374">
        <v>6298</v>
      </c>
      <c r="R55" s="323" t="s">
        <v>1673</v>
      </c>
      <c r="S55" s="324" t="str">
        <f t="shared" si="0"/>
        <v>sûr</v>
      </c>
      <c r="T55" s="325" t="str">
        <f t="shared" si="1"/>
        <v>fluide</v>
      </c>
      <c r="U55" s="228" t="s">
        <v>1673</v>
      </c>
      <c r="V55" s="228" t="s">
        <v>1673</v>
      </c>
      <c r="W55" s="228" t="s">
        <v>1673</v>
      </c>
      <c r="X55" s="229" t="s">
        <v>1673</v>
      </c>
      <c r="Y55" s="288" t="str">
        <f t="shared" si="2"/>
        <v>non</v>
      </c>
      <c r="Z55" s="328" t="str">
        <f t="shared" si="3"/>
        <v>faible</v>
      </c>
      <c r="AA55" s="9"/>
      <c r="AB55" s="1"/>
      <c r="AC55" s="190">
        <f>_xlfn.XLOOKUP(E55&amp;F55&amp;G55&amp;H55&amp;I55&amp;J55&amp;K55&amp;L55&amp;M55&amp;N55&amp;O55&amp;P55,'[2]2.4 wsLookup'!$M$2:$M$96,'[2]2.4 wsLookup'!$N$2:$N$96,"Introuvable")</f>
        <v>8.5699999999999993E-6</v>
      </c>
      <c r="AD55" s="190">
        <f>_xlfn.XLOOKUP(E55&amp;F55&amp;G55&amp;H55&amp;I55&amp;J55&amp;K55&amp;L55&amp;M55&amp;N55&amp;O55&amp;P55,'[2]2.4 wsLookup'!$M$2:$M$96,'[2]2.4 wsLookup'!$O$2:$O$96,"Introuvable")</f>
        <v>1.1200000000000001</v>
      </c>
      <c r="AE55" s="90">
        <f t="shared" si="5"/>
        <v>0.15420121546448801</v>
      </c>
      <c r="AF55" s="206">
        <f>_xlfn.XLOOKUP(E55&amp;F55&amp;G55&amp;H55&amp;I55&amp;J55&amp;K55&amp;L55&amp;M55&amp;N55&amp;O55&amp;P55,'[2]2.4 wsLookup'!$M$2:$M$96,'[2]2.4 wsLookup'!$Q$2:$Q$96,"Introuvable")</f>
        <v>1.2077407737518886</v>
      </c>
      <c r="AG55" s="91">
        <f>_xlfn.XLOOKUP(E55&amp;F55&amp;G55&amp;H55&amp;I55&amp;J55&amp;K55&amp;L55&amp;M55&amp;N55&amp;O55&amp;P55,'[2]2.4 wsLookup'!$M$2:$M$96,'[2]2.4 wsLookup'!$P$2:$P$96,"Introuvable")</f>
        <v>0.05</v>
      </c>
      <c r="AH55" s="91">
        <f>_xlfn.XLOOKUP(E55&amp;F55&amp;G55&amp;H55&amp;I55&amp;J55&amp;K55&amp;L55&amp;M55&amp;N55&amp;O55&amp;P55,'[2]2.4 wsLookup'!$M$2:$M$96,'[2]2.4 wsLookup'!$R$2:$R$96,"Introuvable")</f>
        <v>5.3249999999999999E-2</v>
      </c>
      <c r="AI55" s="193">
        <f>_xlfn.XLOOKUP(E55&amp;F55&amp;G55&amp;H55&amp;I55&amp;J55&amp;K55&amp;L55&amp;M55&amp;N55&amp;O55&amp;P55,'[2]2.4 wsLookup'!$M$2:$M$96,'[2]2.4 wsLookup'!$S$2:$S$96,"Introuvable")</f>
        <v>12000</v>
      </c>
      <c r="AK55" t="str">
        <f t="shared" si="4"/>
        <v>en localité|non|3|non|non|-|-|-|-|-|-|-</v>
      </c>
      <c r="AO55" t="s">
        <v>1696</v>
      </c>
    </row>
    <row r="56" spans="1:41" ht="39" customHeight="1">
      <c r="A56" s="1"/>
      <c r="B56" s="1"/>
      <c r="C56" s="188" t="s">
        <v>1743</v>
      </c>
      <c r="D56" s="224" t="s">
        <v>1678</v>
      </c>
      <c r="E56" s="225" t="s">
        <v>1679</v>
      </c>
      <c r="F56" s="225" t="s">
        <v>1673</v>
      </c>
      <c r="G56" s="225" t="s">
        <v>255</v>
      </c>
      <c r="H56" s="225" t="s">
        <v>1673</v>
      </c>
      <c r="I56" s="225" t="s">
        <v>1674</v>
      </c>
      <c r="J56" s="320" t="s">
        <v>256</v>
      </c>
      <c r="K56" s="224" t="s">
        <v>256</v>
      </c>
      <c r="L56" s="224" t="s">
        <v>256</v>
      </c>
      <c r="M56" s="224" t="s">
        <v>256</v>
      </c>
      <c r="N56" s="224" t="s">
        <v>256</v>
      </c>
      <c r="O56" s="320" t="s">
        <v>256</v>
      </c>
      <c r="P56" s="226" t="s">
        <v>256</v>
      </c>
      <c r="Q56" s="374">
        <v>13322</v>
      </c>
      <c r="R56" s="323" t="s">
        <v>1673</v>
      </c>
      <c r="S56" s="324" t="str">
        <f t="shared" si="0"/>
        <v>acceptable</v>
      </c>
      <c r="T56" s="325" t="str">
        <f t="shared" si="1"/>
        <v>acceptable</v>
      </c>
      <c r="U56" s="228" t="s">
        <v>1673</v>
      </c>
      <c r="V56" s="228" t="s">
        <v>1673</v>
      </c>
      <c r="W56" s="228" t="s">
        <v>1673</v>
      </c>
      <c r="X56" s="229" t="s">
        <v>1673</v>
      </c>
      <c r="Y56" s="288" t="str">
        <f t="shared" si="2"/>
        <v>non</v>
      </c>
      <c r="Z56" s="328" t="str">
        <f t="shared" si="3"/>
        <v>moyen</v>
      </c>
      <c r="AA56" s="9"/>
      <c r="AB56" s="1"/>
      <c r="AC56" s="190">
        <f>_xlfn.XLOOKUP(E56&amp;F56&amp;G56&amp;H56&amp;I56&amp;J56&amp;K56&amp;L56&amp;M56&amp;N56&amp;O56&amp;P56,'[2]2.4 wsLookup'!$M$2:$M$96,'[2]2.4 wsLookup'!$N$2:$N$96,"Introuvable")</f>
        <v>2.3E-5</v>
      </c>
      <c r="AD56" s="190">
        <f>_xlfn.XLOOKUP(E56&amp;F56&amp;G56&amp;H56&amp;I56&amp;J56&amp;K56&amp;L56&amp;M56&amp;N56&amp;O56&amp;P56,'[2]2.4 wsLookup'!$M$2:$M$96,'[2]2.4 wsLookup'!$O$2:$O$96,"Introuvable")</f>
        <v>1.1200000000000001</v>
      </c>
      <c r="AE56" s="90">
        <f t="shared" si="5"/>
        <v>0.95773552495952774</v>
      </c>
      <c r="AF56" s="206">
        <f>_xlfn.XLOOKUP(E56&amp;F56&amp;G56&amp;H56&amp;I56&amp;J56&amp;K56&amp;L56&amp;M56&amp;N56&amp;O56&amp;P56,'[2]2.4 wsLookup'!$M$2:$M$96,'[2]2.4 wsLookup'!$Q$2:$Q$96,"Introuvable")</f>
        <v>1.2077407737518886</v>
      </c>
      <c r="AG56" s="91">
        <f>_xlfn.XLOOKUP(E56&amp;F56&amp;G56&amp;H56&amp;I56&amp;J56&amp;K56&amp;L56&amp;M56&amp;N56&amp;O56&amp;P56,'[2]2.4 wsLookup'!$M$2:$M$96,'[2]2.4 wsLookup'!$P$2:$P$96,"Introuvable")</f>
        <v>5.7000000000000002E-2</v>
      </c>
      <c r="AH56" s="91">
        <f>_xlfn.XLOOKUP(E56&amp;F56&amp;G56&amp;H56&amp;I56&amp;J56&amp;K56&amp;L56&amp;M56&amp;N56&amp;O56&amp;P56,'[2]2.4 wsLookup'!$M$2:$M$96,'[2]2.4 wsLookup'!$R$2:$R$96,"Introuvable")</f>
        <v>5.3249999999999999E-2</v>
      </c>
      <c r="AI56" s="193">
        <f>_xlfn.XLOOKUP(E56&amp;F56&amp;G56&amp;H56&amp;I56&amp;J56&amp;K56&amp;L56&amp;M56&amp;N56&amp;O56&amp;P56,'[2]2.4 wsLookup'!$M$2:$M$96,'[2]2.4 wsLookup'!$S$2:$S$96,"Introuvable")</f>
        <v>12500</v>
      </c>
      <c r="AK56" t="str">
        <f t="shared" si="4"/>
        <v>en localité|non|&gt;3|non|oui|-|-|-|-|-|-|-</v>
      </c>
      <c r="AO56" t="s">
        <v>1694</v>
      </c>
    </row>
    <row r="57" spans="1:41" ht="39" customHeight="1">
      <c r="A57" s="1"/>
      <c r="B57" s="1"/>
      <c r="C57" s="188" t="s">
        <v>1744</v>
      </c>
      <c r="D57" s="224" t="s">
        <v>1678</v>
      </c>
      <c r="E57" s="225" t="s">
        <v>1679</v>
      </c>
      <c r="F57" s="225" t="s">
        <v>1673</v>
      </c>
      <c r="G57" s="225" t="s">
        <v>257</v>
      </c>
      <c r="H57" s="225" t="s">
        <v>1673</v>
      </c>
      <c r="I57" s="225" t="s">
        <v>1674</v>
      </c>
      <c r="J57" s="320" t="s">
        <v>256</v>
      </c>
      <c r="K57" s="224" t="s">
        <v>256</v>
      </c>
      <c r="L57" s="224" t="s">
        <v>256</v>
      </c>
      <c r="M57" s="224" t="s">
        <v>256</v>
      </c>
      <c r="N57" s="224" t="s">
        <v>256</v>
      </c>
      <c r="O57" s="320" t="s">
        <v>256</v>
      </c>
      <c r="P57" s="226" t="s">
        <v>256</v>
      </c>
      <c r="Q57" s="374">
        <v>15634</v>
      </c>
      <c r="R57" s="323" t="s">
        <v>1673</v>
      </c>
      <c r="S57" s="324" t="str">
        <f t="shared" si="0"/>
        <v>sûr</v>
      </c>
      <c r="T57" s="325" t="str">
        <f t="shared" si="1"/>
        <v>instable</v>
      </c>
      <c r="U57" s="228" t="s">
        <v>1673</v>
      </c>
      <c r="V57" s="228" t="s">
        <v>1673</v>
      </c>
      <c r="W57" s="228" t="s">
        <v>1673</v>
      </c>
      <c r="X57" s="229" t="s">
        <v>1673</v>
      </c>
      <c r="Y57" s="288" t="str">
        <f t="shared" si="2"/>
        <v>non</v>
      </c>
      <c r="Z57" s="328" t="str">
        <f t="shared" si="3"/>
        <v>élevé</v>
      </c>
      <c r="AA57" s="9"/>
      <c r="AB57" s="1"/>
      <c r="AC57" s="190">
        <f>_xlfn.XLOOKUP(E57&amp;F57&amp;G57&amp;H57&amp;I57&amp;J57&amp;K57&amp;L57&amp;M57&amp;N57&amp;O57&amp;P57,'[2]2.4 wsLookup'!$M$2:$M$96,'[2]2.4 wsLookup'!$N$2:$N$96,"Introuvable")</f>
        <v>1.5600000000000003E-5</v>
      </c>
      <c r="AD57" s="190">
        <f>_xlfn.XLOOKUP(E57&amp;F57&amp;G57&amp;H57&amp;I57&amp;J57&amp;K57&amp;L57&amp;M57&amp;N57&amp;O57&amp;P57,'[2]2.4 wsLookup'!$M$2:$M$96,'[2]2.4 wsLookup'!$O$2:$O$96,"Introuvable")</f>
        <v>1.1200000000000001</v>
      </c>
      <c r="AE57" s="90">
        <f t="shared" si="5"/>
        <v>0.77711111174846792</v>
      </c>
      <c r="AF57" s="206">
        <f>_xlfn.XLOOKUP(E57&amp;F57&amp;G57&amp;H57&amp;I57&amp;J57&amp;K57&amp;L57&amp;M57&amp;N57&amp;O57&amp;P57,'[2]2.4 wsLookup'!$M$2:$M$96,'[2]2.4 wsLookup'!$Q$2:$Q$96,"Introuvable")</f>
        <v>1.2077407737518886</v>
      </c>
      <c r="AG57" s="91">
        <f>_xlfn.XLOOKUP(E57&amp;F57&amp;G57&amp;H57&amp;I57&amp;J57&amp;K57&amp;L57&amp;M57&amp;N57&amp;O57&amp;P57,'[2]2.4 wsLookup'!$M$2:$M$96,'[2]2.4 wsLookup'!$P$2:$P$96,"Introuvable")</f>
        <v>0.05</v>
      </c>
      <c r="AH57" s="91">
        <f>_xlfn.XLOOKUP(E57&amp;F57&amp;G57&amp;H57&amp;I57&amp;J57&amp;K57&amp;L57&amp;M57&amp;N57&amp;O57&amp;P57,'[2]2.4 wsLookup'!$M$2:$M$96,'[2]2.4 wsLookup'!$R$2:$R$96,"Introuvable")</f>
        <v>5.3249999999999999E-2</v>
      </c>
      <c r="AI57" s="193">
        <f>_xlfn.XLOOKUP(E57&amp;F57&amp;G57&amp;H57&amp;I57&amp;J57&amp;K57&amp;L57&amp;M57&amp;N57&amp;O57&amp;P57,'[2]2.4 wsLookup'!$M$2:$M$96,'[2]2.4 wsLookup'!$S$2:$S$96,"Introuvable")</f>
        <v>11000</v>
      </c>
      <c r="AK57" t="str">
        <f t="shared" si="4"/>
        <v>en localité|non|3|non|oui|-|-|-|-|-|-|-</v>
      </c>
      <c r="AO57" t="s">
        <v>1727</v>
      </c>
    </row>
    <row r="58" spans="1:41" ht="39" customHeight="1">
      <c r="A58" s="1"/>
      <c r="B58" s="1"/>
      <c r="C58" s="188" t="s">
        <v>1745</v>
      </c>
      <c r="D58" s="224" t="s">
        <v>1678</v>
      </c>
      <c r="E58" s="225" t="s">
        <v>1679</v>
      </c>
      <c r="F58" s="225" t="s">
        <v>1673</v>
      </c>
      <c r="G58" s="225" t="s">
        <v>257</v>
      </c>
      <c r="H58" s="225" t="s">
        <v>1673</v>
      </c>
      <c r="I58" s="225" t="s">
        <v>1674</v>
      </c>
      <c r="J58" s="320" t="s">
        <v>256</v>
      </c>
      <c r="K58" s="224" t="s">
        <v>256</v>
      </c>
      <c r="L58" s="224" t="s">
        <v>256</v>
      </c>
      <c r="M58" s="224" t="s">
        <v>256</v>
      </c>
      <c r="N58" s="224" t="s">
        <v>256</v>
      </c>
      <c r="O58" s="320" t="s">
        <v>256</v>
      </c>
      <c r="P58" s="226" t="s">
        <v>256</v>
      </c>
      <c r="Q58" s="374">
        <v>7687</v>
      </c>
      <c r="R58" s="323" t="s">
        <v>1673</v>
      </c>
      <c r="S58" s="324" t="str">
        <f t="shared" si="0"/>
        <v>sûr</v>
      </c>
      <c r="T58" s="325" t="str">
        <f t="shared" si="1"/>
        <v>fluide</v>
      </c>
      <c r="U58" s="228" t="s">
        <v>1673</v>
      </c>
      <c r="V58" s="228" t="s">
        <v>1674</v>
      </c>
      <c r="W58" s="228" t="s">
        <v>1673</v>
      </c>
      <c r="X58" s="229" t="s">
        <v>1674</v>
      </c>
      <c r="Y58" s="288" t="str">
        <f t="shared" si="2"/>
        <v>oui</v>
      </c>
      <c r="Z58" s="328" t="str">
        <f t="shared" si="3"/>
        <v>élevé</v>
      </c>
      <c r="AA58" s="9"/>
      <c r="AB58" s="1"/>
      <c r="AC58" s="190">
        <f>_xlfn.XLOOKUP(E58&amp;F58&amp;G58&amp;H58&amp;I58&amp;J58&amp;K58&amp;L58&amp;M58&amp;N58&amp;O58&amp;P58,'[2]2.4 wsLookup'!$M$2:$M$96,'[2]2.4 wsLookup'!$N$2:$N$96,"Introuvable")</f>
        <v>1.5600000000000003E-5</v>
      </c>
      <c r="AD58" s="190">
        <f>_xlfn.XLOOKUP(E58&amp;F58&amp;G58&amp;H58&amp;I58&amp;J58&amp;K58&amp;L58&amp;M58&amp;N58&amp;O58&amp;P58,'[2]2.4 wsLookup'!$M$2:$M$96,'[2]2.4 wsLookup'!$O$2:$O$96,"Introuvable")</f>
        <v>1.1200000000000001</v>
      </c>
      <c r="AE58" s="90">
        <f t="shared" si="5"/>
        <v>0.35089106141189408</v>
      </c>
      <c r="AF58" s="206">
        <f>_xlfn.XLOOKUP(E58&amp;F58&amp;G58&amp;H58&amp;I58&amp;J58&amp;K58&amp;L58&amp;M58&amp;N58&amp;O58&amp;P58,'[2]2.4 wsLookup'!$M$2:$M$96,'[2]2.4 wsLookup'!$Q$2:$Q$96,"Introuvable")</f>
        <v>1.2077407737518886</v>
      </c>
      <c r="AG58" s="91">
        <f>_xlfn.XLOOKUP(E58&amp;F58&amp;G58&amp;H58&amp;I58&amp;J58&amp;K58&amp;L58&amp;M58&amp;N58&amp;O58&amp;P58,'[2]2.4 wsLookup'!$M$2:$M$96,'[2]2.4 wsLookup'!$P$2:$P$96,"Introuvable")</f>
        <v>0.05</v>
      </c>
      <c r="AH58" s="91">
        <f>_xlfn.XLOOKUP(E58&amp;F58&amp;G58&amp;H58&amp;I58&amp;J58&amp;K58&amp;L58&amp;M58&amp;N58&amp;O58&amp;P58,'[2]2.4 wsLookup'!$M$2:$M$96,'[2]2.4 wsLookup'!$R$2:$R$96,"Introuvable")</f>
        <v>5.3249999999999999E-2</v>
      </c>
      <c r="AI58" s="193">
        <f>_xlfn.XLOOKUP(E58&amp;F58&amp;G58&amp;H58&amp;I58&amp;J58&amp;K58&amp;L58&amp;M58&amp;N58&amp;O58&amp;P58,'[2]2.4 wsLookup'!$M$2:$M$96,'[2]2.4 wsLookup'!$S$2:$S$96,"Introuvable")</f>
        <v>11000</v>
      </c>
      <c r="AK58" t="str">
        <f t="shared" si="4"/>
        <v>en localité|non|3|non|oui|-|-|-|-|-|-|-</v>
      </c>
      <c r="AO58" t="s">
        <v>1746</v>
      </c>
    </row>
    <row r="59" spans="1:41" ht="39" customHeight="1">
      <c r="A59" s="1"/>
      <c r="B59" s="1"/>
      <c r="C59" s="188" t="s">
        <v>1747</v>
      </c>
      <c r="D59" s="224" t="s">
        <v>1678</v>
      </c>
      <c r="E59" s="225" t="s">
        <v>1679</v>
      </c>
      <c r="F59" s="225" t="s">
        <v>1673</v>
      </c>
      <c r="G59" s="225" t="s">
        <v>257</v>
      </c>
      <c r="H59" s="225" t="s">
        <v>1673</v>
      </c>
      <c r="I59" s="225" t="s">
        <v>1673</v>
      </c>
      <c r="J59" s="320" t="s">
        <v>256</v>
      </c>
      <c r="K59" s="224" t="s">
        <v>256</v>
      </c>
      <c r="L59" s="224" t="s">
        <v>256</v>
      </c>
      <c r="M59" s="224" t="s">
        <v>256</v>
      </c>
      <c r="N59" s="224" t="s">
        <v>256</v>
      </c>
      <c r="O59" s="320" t="s">
        <v>256</v>
      </c>
      <c r="P59" s="226" t="s">
        <v>256</v>
      </c>
      <c r="Q59" s="374">
        <v>7687</v>
      </c>
      <c r="R59" s="323" t="s">
        <v>1673</v>
      </c>
      <c r="S59" s="324" t="str">
        <f t="shared" si="0"/>
        <v>sûr</v>
      </c>
      <c r="T59" s="325" t="str">
        <f t="shared" si="1"/>
        <v>fluide</v>
      </c>
      <c r="U59" s="228" t="s">
        <v>1673</v>
      </c>
      <c r="V59" s="228" t="s">
        <v>1673</v>
      </c>
      <c r="W59" s="228" t="s">
        <v>1673</v>
      </c>
      <c r="X59" s="229" t="s">
        <v>1673</v>
      </c>
      <c r="Y59" s="288" t="str">
        <f t="shared" si="2"/>
        <v>non</v>
      </c>
      <c r="Z59" s="328" t="str">
        <f t="shared" si="3"/>
        <v>faible</v>
      </c>
      <c r="AA59" s="9"/>
      <c r="AB59" s="1"/>
      <c r="AC59" s="190">
        <f>_xlfn.XLOOKUP(E59&amp;F59&amp;G59&amp;H59&amp;I59&amp;J59&amp;K59&amp;L59&amp;M59&amp;N59&amp;O59&amp;P59,'[2]2.4 wsLookup'!$M$2:$M$96,'[2]2.4 wsLookup'!$N$2:$N$96,"Introuvable")</f>
        <v>8.5699999999999993E-6</v>
      </c>
      <c r="AD59" s="190">
        <f>_xlfn.XLOOKUP(E59&amp;F59&amp;G59&amp;H59&amp;I59&amp;J59&amp;K59&amp;L59&amp;M59&amp;N59&amp;O59&amp;P59,'[2]2.4 wsLookup'!$M$2:$M$96,'[2]2.4 wsLookup'!$O$2:$O$96,"Introuvable")</f>
        <v>1.1200000000000001</v>
      </c>
      <c r="AE59" s="90">
        <f t="shared" si="5"/>
        <v>0.19276515360896995</v>
      </c>
      <c r="AF59" s="206">
        <f>_xlfn.XLOOKUP(E59&amp;F59&amp;G59&amp;H59&amp;I59&amp;J59&amp;K59&amp;L59&amp;M59&amp;N59&amp;O59&amp;P59,'[2]2.4 wsLookup'!$M$2:$M$96,'[2]2.4 wsLookup'!$Q$2:$Q$96,"Introuvable")</f>
        <v>1.2077407737518886</v>
      </c>
      <c r="AG59" s="91">
        <f>_xlfn.XLOOKUP(E59&amp;F59&amp;G59&amp;H59&amp;I59&amp;J59&amp;K59&amp;L59&amp;M59&amp;N59&amp;O59&amp;P59,'[2]2.4 wsLookup'!$M$2:$M$96,'[2]2.4 wsLookup'!$P$2:$P$96,"Introuvable")</f>
        <v>0.05</v>
      </c>
      <c r="AH59" s="91">
        <f>_xlfn.XLOOKUP(E59&amp;F59&amp;G59&amp;H59&amp;I59&amp;J59&amp;K59&amp;L59&amp;M59&amp;N59&amp;O59&amp;P59,'[2]2.4 wsLookup'!$M$2:$M$96,'[2]2.4 wsLookup'!$R$2:$R$96,"Introuvable")</f>
        <v>5.3249999999999999E-2</v>
      </c>
      <c r="AI59" s="193">
        <f>_xlfn.XLOOKUP(E59&amp;F59&amp;G59&amp;H59&amp;I59&amp;J59&amp;K59&amp;L59&amp;M59&amp;N59&amp;O59&amp;P59,'[2]2.4 wsLookup'!$M$2:$M$96,'[2]2.4 wsLookup'!$S$2:$S$96,"Introuvable")</f>
        <v>12000</v>
      </c>
      <c r="AK59" t="str">
        <f t="shared" si="4"/>
        <v>en localité|non|3|non|non|-|-|-|-|-|-|-</v>
      </c>
      <c r="AO59" t="s">
        <v>1696</v>
      </c>
    </row>
    <row r="60" spans="1:41" ht="39" customHeight="1">
      <c r="A60" s="1"/>
      <c r="B60" s="1"/>
      <c r="C60" s="188" t="s">
        <v>1748</v>
      </c>
      <c r="D60" s="224" t="s">
        <v>1678</v>
      </c>
      <c r="E60" s="225" t="s">
        <v>1679</v>
      </c>
      <c r="F60" s="225" t="s">
        <v>1673</v>
      </c>
      <c r="G60" s="225" t="s">
        <v>257</v>
      </c>
      <c r="H60" s="225" t="s">
        <v>1673</v>
      </c>
      <c r="I60" s="225" t="s">
        <v>1673</v>
      </c>
      <c r="J60" s="320" t="s">
        <v>256</v>
      </c>
      <c r="K60" s="224" t="s">
        <v>256</v>
      </c>
      <c r="L60" s="224" t="s">
        <v>256</v>
      </c>
      <c r="M60" s="224" t="s">
        <v>256</v>
      </c>
      <c r="N60" s="224" t="s">
        <v>256</v>
      </c>
      <c r="O60" s="320" t="s">
        <v>256</v>
      </c>
      <c r="P60" s="226" t="s">
        <v>256</v>
      </c>
      <c r="Q60" s="374">
        <v>19200</v>
      </c>
      <c r="R60" s="323" t="s">
        <v>1673</v>
      </c>
      <c r="S60" s="324" t="str">
        <f t="shared" si="0"/>
        <v>sûr</v>
      </c>
      <c r="T60" s="325" t="str">
        <f t="shared" si="1"/>
        <v>instable</v>
      </c>
      <c r="U60" s="228" t="s">
        <v>1673</v>
      </c>
      <c r="V60" s="228" t="s">
        <v>1673</v>
      </c>
      <c r="W60" s="228" t="s">
        <v>1673</v>
      </c>
      <c r="X60" s="229" t="s">
        <v>1673</v>
      </c>
      <c r="Y60" s="288" t="str">
        <f t="shared" si="2"/>
        <v>non</v>
      </c>
      <c r="Z60" s="328" t="str">
        <f t="shared" si="3"/>
        <v>élevé</v>
      </c>
      <c r="AA60" s="9"/>
      <c r="AB60" s="1"/>
      <c r="AC60" s="190">
        <f>_xlfn.XLOOKUP(E60&amp;F60&amp;G60&amp;H60&amp;I60&amp;J60&amp;K60&amp;L60&amp;M60&amp;N60&amp;O60&amp;P60,'[2]2.4 wsLookup'!$M$2:$M$96,'[2]2.4 wsLookup'!$N$2:$N$96,"Introuvable")</f>
        <v>8.5699999999999993E-6</v>
      </c>
      <c r="AD60" s="190">
        <f>_xlfn.XLOOKUP(E60&amp;F60&amp;G60&amp;H60&amp;I60&amp;J60&amp;K60&amp;L60&amp;M60&amp;N60&amp;O60&amp;P60,'[2]2.4 wsLookup'!$M$2:$M$96,'[2]2.4 wsLookup'!$O$2:$O$96,"Introuvable")</f>
        <v>1.1200000000000001</v>
      </c>
      <c r="AE60" s="90">
        <f t="shared" si="5"/>
        <v>0.53737591557433173</v>
      </c>
      <c r="AF60" s="206">
        <f>_xlfn.XLOOKUP(E60&amp;F60&amp;G60&amp;H60&amp;I60&amp;J60&amp;K60&amp;L60&amp;M60&amp;N60&amp;O60&amp;P60,'[2]2.4 wsLookup'!$M$2:$M$96,'[2]2.4 wsLookup'!$Q$2:$Q$96,"Introuvable")</f>
        <v>1.2077407737518886</v>
      </c>
      <c r="AG60" s="91">
        <f>_xlfn.XLOOKUP(E60&amp;F60&amp;G60&amp;H60&amp;I60&amp;J60&amp;K60&amp;L60&amp;M60&amp;N60&amp;O60&amp;P60,'[2]2.4 wsLookup'!$M$2:$M$96,'[2]2.4 wsLookup'!$P$2:$P$96,"Introuvable")</f>
        <v>0.05</v>
      </c>
      <c r="AH60" s="91">
        <f>_xlfn.XLOOKUP(E60&amp;F60&amp;G60&amp;H60&amp;I60&amp;J60&amp;K60&amp;L60&amp;M60&amp;N60&amp;O60&amp;P60,'[2]2.4 wsLookup'!$M$2:$M$96,'[2]2.4 wsLookup'!$R$2:$R$96,"Introuvable")</f>
        <v>5.3249999999999999E-2</v>
      </c>
      <c r="AI60" s="193">
        <f>_xlfn.XLOOKUP(E60&amp;F60&amp;G60&amp;H60&amp;I60&amp;J60&amp;K60&amp;L60&amp;M60&amp;N60&amp;O60&amp;P60,'[2]2.4 wsLookup'!$M$2:$M$96,'[2]2.4 wsLookup'!$S$2:$S$96,"Introuvable")</f>
        <v>12000</v>
      </c>
      <c r="AK60" t="str">
        <f t="shared" si="4"/>
        <v>en localité|non|3|non|non|-|-|-|-|-|-|-</v>
      </c>
      <c r="AO60" t="s">
        <v>1688</v>
      </c>
    </row>
    <row r="61" spans="1:41" ht="39" customHeight="1">
      <c r="A61" s="1"/>
      <c r="B61" s="1"/>
      <c r="C61" s="188" t="s">
        <v>1749</v>
      </c>
      <c r="D61" s="224" t="s">
        <v>1678</v>
      </c>
      <c r="E61" s="225" t="s">
        <v>1679</v>
      </c>
      <c r="F61" s="225" t="s">
        <v>1673</v>
      </c>
      <c r="G61" s="225" t="s">
        <v>255</v>
      </c>
      <c r="H61" s="225" t="s">
        <v>1674</v>
      </c>
      <c r="I61" s="225" t="s">
        <v>1673</v>
      </c>
      <c r="J61" s="320" t="s">
        <v>256</v>
      </c>
      <c r="K61" s="224" t="s">
        <v>256</v>
      </c>
      <c r="L61" s="224" t="s">
        <v>256</v>
      </c>
      <c r="M61" s="224" t="s">
        <v>256</v>
      </c>
      <c r="N61" s="224" t="s">
        <v>256</v>
      </c>
      <c r="O61" s="320" t="s">
        <v>256</v>
      </c>
      <c r="P61" s="226" t="s">
        <v>256</v>
      </c>
      <c r="Q61" s="374">
        <v>5072</v>
      </c>
      <c r="R61" s="323" t="s">
        <v>1673</v>
      </c>
      <c r="S61" s="324" t="str">
        <f t="shared" si="0"/>
        <v>sûr</v>
      </c>
      <c r="T61" s="325" t="str">
        <f t="shared" si="1"/>
        <v>fluide</v>
      </c>
      <c r="U61" s="228" t="s">
        <v>1673</v>
      </c>
      <c r="V61" s="228" t="s">
        <v>1673</v>
      </c>
      <c r="W61" s="228" t="s">
        <v>1673</v>
      </c>
      <c r="X61" s="229" t="s">
        <v>1673</v>
      </c>
      <c r="Y61" s="288" t="str">
        <f t="shared" si="2"/>
        <v>non</v>
      </c>
      <c r="Z61" s="328" t="str">
        <f t="shared" si="3"/>
        <v>faible</v>
      </c>
      <c r="AA61" s="9"/>
      <c r="AB61" s="1"/>
      <c r="AC61" s="190">
        <f>_xlfn.XLOOKUP(E61&amp;F61&amp;G61&amp;H61&amp;I61&amp;J61&amp;K61&amp;L61&amp;M61&amp;N61&amp;O61&amp;P61,'[2]2.4 wsLookup'!$M$2:$M$96,'[2]2.4 wsLookup'!$N$2:$N$96,"Introuvable")</f>
        <v>1.09E-3</v>
      </c>
      <c r="AD61" s="190">
        <f>_xlfn.XLOOKUP(E61&amp;F61&amp;G61&amp;H61&amp;I61&amp;J61&amp;K61&amp;L61&amp;M61&amp;N61&amp;O61&amp;P61,'[2]2.4 wsLookup'!$M$2:$M$96,'[2]2.4 wsLookup'!$O$2:$O$96,"Introuvable")</f>
        <v>0.66</v>
      </c>
      <c r="AE61" s="90">
        <f t="shared" si="5"/>
        <v>0.30397985223839713</v>
      </c>
      <c r="AF61" s="206">
        <f>_xlfn.XLOOKUP(E61&amp;F61&amp;G61&amp;H61&amp;I61&amp;J61&amp;K61&amp;L61&amp;M61&amp;N61&amp;O61&amp;P61,'[2]2.4 wsLookup'!$M$2:$M$96,'[2]2.4 wsLookup'!$Q$2:$Q$96,"Introuvable")</f>
        <v>1.2077407737518886</v>
      </c>
      <c r="AG61" s="91">
        <f>_xlfn.XLOOKUP(E61&amp;F61&amp;G61&amp;H61&amp;I61&amp;J61&amp;K61&amp;L61&amp;M61&amp;N61&amp;O61&amp;P61,'[2]2.4 wsLookup'!$M$2:$M$96,'[2]2.4 wsLookup'!$P$2:$P$96,"Introuvable")</f>
        <v>3.7999999999999999E-2</v>
      </c>
      <c r="AH61" s="91">
        <f>_xlfn.XLOOKUP(E61&amp;F61&amp;G61&amp;H61&amp;I61&amp;J61&amp;K61&amp;L61&amp;M61&amp;N61&amp;O61&amp;P61,'[2]2.4 wsLookup'!$M$2:$M$96,'[2]2.4 wsLookup'!$R$2:$R$96,"Introuvable")</f>
        <v>5.3249999999999999E-2</v>
      </c>
      <c r="AI61" s="193">
        <f>_xlfn.XLOOKUP(E61&amp;F61&amp;G61&amp;H61&amp;I61&amp;J61&amp;K61&amp;L61&amp;M61&amp;N61&amp;O61&amp;P61,'[2]2.4 wsLookup'!$M$2:$M$96,'[2]2.4 wsLookup'!$S$2:$S$96,"Introuvable")</f>
        <v>40000</v>
      </c>
      <c r="AK61" t="str">
        <f t="shared" si="4"/>
        <v>en localité|non|&gt;3|oui|non|-|-|-|-|-|-|-</v>
      </c>
      <c r="AO61" t="s">
        <v>1690</v>
      </c>
    </row>
    <row r="62" spans="1:41" ht="39" customHeight="1">
      <c r="A62" s="1"/>
      <c r="B62" s="1"/>
      <c r="C62" s="188" t="s">
        <v>1750</v>
      </c>
      <c r="D62" s="224" t="s">
        <v>1678</v>
      </c>
      <c r="E62" s="225" t="s">
        <v>1679</v>
      </c>
      <c r="F62" s="225" t="s">
        <v>1673</v>
      </c>
      <c r="G62" s="225" t="s">
        <v>257</v>
      </c>
      <c r="H62" s="225" t="s">
        <v>1673</v>
      </c>
      <c r="I62" s="225" t="s">
        <v>1673</v>
      </c>
      <c r="J62" s="320" t="s">
        <v>256</v>
      </c>
      <c r="K62" s="224" t="s">
        <v>256</v>
      </c>
      <c r="L62" s="224" t="s">
        <v>256</v>
      </c>
      <c r="M62" s="224" t="s">
        <v>256</v>
      </c>
      <c r="N62" s="224" t="s">
        <v>256</v>
      </c>
      <c r="O62" s="320" t="s">
        <v>256</v>
      </c>
      <c r="P62" s="226" t="s">
        <v>256</v>
      </c>
      <c r="Q62" s="374">
        <v>8052</v>
      </c>
      <c r="R62" s="323" t="s">
        <v>1673</v>
      </c>
      <c r="S62" s="324" t="str">
        <f t="shared" si="0"/>
        <v>sûr</v>
      </c>
      <c r="T62" s="325" t="str">
        <f t="shared" si="1"/>
        <v>fluide</v>
      </c>
      <c r="U62" s="228" t="s">
        <v>1673</v>
      </c>
      <c r="V62" s="228" t="s">
        <v>1673</v>
      </c>
      <c r="W62" s="228" t="s">
        <v>1673</v>
      </c>
      <c r="X62" s="229" t="s">
        <v>1673</v>
      </c>
      <c r="Y62" s="288" t="str">
        <f t="shared" si="2"/>
        <v>non</v>
      </c>
      <c r="Z62" s="328" t="str">
        <f t="shared" si="3"/>
        <v>faible</v>
      </c>
      <c r="AA62" s="9"/>
      <c r="AB62" s="1"/>
      <c r="AC62" s="190">
        <f>_xlfn.XLOOKUP(E62&amp;F62&amp;G62&amp;H62&amp;I62&amp;J62&amp;K62&amp;L62&amp;M62&amp;N62&amp;O62&amp;P62,'[2]2.4 wsLookup'!$M$2:$M$96,'[2]2.4 wsLookup'!$N$2:$N$96,"Introuvable")</f>
        <v>8.5699999999999993E-6</v>
      </c>
      <c r="AD62" s="190">
        <f>_xlfn.XLOOKUP(E62&amp;F62&amp;G62&amp;H62&amp;I62&amp;J62&amp;K62&amp;L62&amp;M62&amp;N62&amp;O62&amp;P62,'[2]2.4 wsLookup'!$M$2:$M$96,'[2]2.4 wsLookup'!$O$2:$O$96,"Introuvable")</f>
        <v>1.1200000000000001</v>
      </c>
      <c r="AE62" s="90">
        <f t="shared" si="5"/>
        <v>0.20304534628257989</v>
      </c>
      <c r="AF62" s="206">
        <f>_xlfn.XLOOKUP(E62&amp;F62&amp;G62&amp;H62&amp;I62&amp;J62&amp;K62&amp;L62&amp;M62&amp;N62&amp;O62&amp;P62,'[2]2.4 wsLookup'!$M$2:$M$96,'[2]2.4 wsLookup'!$Q$2:$Q$96,"Introuvable")</f>
        <v>1.2077407737518886</v>
      </c>
      <c r="AG62" s="91">
        <f>_xlfn.XLOOKUP(E62&amp;F62&amp;G62&amp;H62&amp;I62&amp;J62&amp;K62&amp;L62&amp;M62&amp;N62&amp;O62&amp;P62,'[2]2.4 wsLookup'!$M$2:$M$96,'[2]2.4 wsLookup'!$P$2:$P$96,"Introuvable")</f>
        <v>0.05</v>
      </c>
      <c r="AH62" s="91">
        <f>_xlfn.XLOOKUP(E62&amp;F62&amp;G62&amp;H62&amp;I62&amp;J62&amp;K62&amp;L62&amp;M62&amp;N62&amp;O62&amp;P62,'[2]2.4 wsLookup'!$M$2:$M$96,'[2]2.4 wsLookup'!$R$2:$R$96,"Introuvable")</f>
        <v>5.3249999999999999E-2</v>
      </c>
      <c r="AI62" s="193">
        <f>_xlfn.XLOOKUP(E62&amp;F62&amp;G62&amp;H62&amp;I62&amp;J62&amp;K62&amp;L62&amp;M62&amp;N62&amp;O62&amp;P62,'[2]2.4 wsLookup'!$M$2:$M$96,'[2]2.4 wsLookup'!$S$2:$S$96,"Introuvable")</f>
        <v>12000</v>
      </c>
      <c r="AK62" t="str">
        <f t="shared" si="4"/>
        <v>en localité|non|3|non|non|-|-|-|-|-|-|-</v>
      </c>
      <c r="AO62" t="s">
        <v>1696</v>
      </c>
    </row>
    <row r="63" spans="1:41" ht="39" customHeight="1">
      <c r="A63" s="1"/>
      <c r="B63" s="1"/>
      <c r="C63" s="188" t="s">
        <v>1751</v>
      </c>
      <c r="D63" s="224" t="s">
        <v>1678</v>
      </c>
      <c r="E63" s="225" t="s">
        <v>1679</v>
      </c>
      <c r="F63" s="225" t="s">
        <v>1673</v>
      </c>
      <c r="G63" s="225" t="s">
        <v>255</v>
      </c>
      <c r="H63" s="225" t="s">
        <v>1673</v>
      </c>
      <c r="I63" s="225" t="s">
        <v>1673</v>
      </c>
      <c r="J63" s="320" t="s">
        <v>256</v>
      </c>
      <c r="K63" s="224" t="s">
        <v>256</v>
      </c>
      <c r="L63" s="224" t="s">
        <v>256</v>
      </c>
      <c r="M63" s="224" t="s">
        <v>256</v>
      </c>
      <c r="N63" s="224" t="s">
        <v>256</v>
      </c>
      <c r="O63" s="320" t="s">
        <v>256</v>
      </c>
      <c r="P63" s="226" t="s">
        <v>256</v>
      </c>
      <c r="Q63" s="374">
        <v>7053</v>
      </c>
      <c r="R63" s="323" t="s">
        <v>1673</v>
      </c>
      <c r="S63" s="324" t="str">
        <f t="shared" si="0"/>
        <v>acceptable</v>
      </c>
      <c r="T63" s="325" t="str">
        <f t="shared" si="1"/>
        <v>fluide</v>
      </c>
      <c r="U63" s="228" t="s">
        <v>1673</v>
      </c>
      <c r="V63" s="228" t="s">
        <v>1673</v>
      </c>
      <c r="W63" s="228" t="s">
        <v>1673</v>
      </c>
      <c r="X63" s="229" t="s">
        <v>1673</v>
      </c>
      <c r="Y63" s="288" t="str">
        <f t="shared" si="2"/>
        <v>non</v>
      </c>
      <c r="Z63" s="328" t="str">
        <f t="shared" si="3"/>
        <v>moyen</v>
      </c>
      <c r="AA63" s="9"/>
      <c r="AB63" s="1"/>
      <c r="AC63" s="190">
        <f>_xlfn.XLOOKUP(E63&amp;F63&amp;G63&amp;H63&amp;I63&amp;J63&amp;K63&amp;L63&amp;M63&amp;N63&amp;O63&amp;P63,'[2]2.4 wsLookup'!$M$2:$M$96,'[2]2.4 wsLookup'!$N$2:$N$96,"Introuvable")</f>
        <v>1.27E-5</v>
      </c>
      <c r="AD63" s="190">
        <f>_xlfn.XLOOKUP(E63&amp;F63&amp;G63&amp;H63&amp;I63&amp;J63&amp;K63&amp;L63&amp;M63&amp;N63&amp;O63&amp;P63,'[2]2.4 wsLookup'!$M$2:$M$96,'[2]2.4 wsLookup'!$O$2:$O$96,"Introuvable")</f>
        <v>1.1200000000000001</v>
      </c>
      <c r="AE63" s="90">
        <f t="shared" si="5"/>
        <v>0.25940746571030715</v>
      </c>
      <c r="AF63" s="206">
        <f>_xlfn.XLOOKUP(E63&amp;F63&amp;G63&amp;H63&amp;I63&amp;J63&amp;K63&amp;L63&amp;M63&amp;N63&amp;O63&amp;P63,'[2]2.4 wsLookup'!$M$2:$M$96,'[2]2.4 wsLookup'!$Q$2:$Q$96,"Introuvable")</f>
        <v>1.2077407737518886</v>
      </c>
      <c r="AG63" s="91">
        <f>_xlfn.XLOOKUP(E63&amp;F63&amp;G63&amp;H63&amp;I63&amp;J63&amp;K63&amp;L63&amp;M63&amp;N63&amp;O63&amp;P63,'[2]2.4 wsLookup'!$M$2:$M$96,'[2]2.4 wsLookup'!$P$2:$P$96,"Introuvable")</f>
        <v>5.7000000000000002E-2</v>
      </c>
      <c r="AH63" s="91">
        <f>_xlfn.XLOOKUP(E63&amp;F63&amp;G63&amp;H63&amp;I63&amp;J63&amp;K63&amp;L63&amp;M63&amp;N63&amp;O63&amp;P63,'[2]2.4 wsLookup'!$M$2:$M$96,'[2]2.4 wsLookup'!$R$2:$R$96,"Introuvable")</f>
        <v>5.3249999999999999E-2</v>
      </c>
      <c r="AI63" s="193">
        <f>_xlfn.XLOOKUP(E63&amp;F63&amp;G63&amp;H63&amp;I63&amp;J63&amp;K63&amp;L63&amp;M63&amp;N63&amp;O63&amp;P63,'[2]2.4 wsLookup'!$M$2:$M$96,'[2]2.4 wsLookup'!$S$2:$S$96,"Introuvable")</f>
        <v>14000</v>
      </c>
      <c r="AK63" t="str">
        <f t="shared" si="4"/>
        <v>en localité|non|&gt;3|non|non|-|-|-|-|-|-|-</v>
      </c>
      <c r="AO63" t="s">
        <v>1739</v>
      </c>
    </row>
    <row r="64" spans="1:41" ht="39" customHeight="1">
      <c r="A64" s="1"/>
      <c r="B64" s="1"/>
      <c r="C64" s="188" t="s">
        <v>1752</v>
      </c>
      <c r="D64" s="224" t="s">
        <v>1678</v>
      </c>
      <c r="E64" s="225" t="s">
        <v>1679</v>
      </c>
      <c r="F64" s="225" t="s">
        <v>1673</v>
      </c>
      <c r="G64" s="225" t="s">
        <v>257</v>
      </c>
      <c r="H64" s="225" t="s">
        <v>1673</v>
      </c>
      <c r="I64" s="225" t="s">
        <v>1673</v>
      </c>
      <c r="J64" s="320" t="s">
        <v>256</v>
      </c>
      <c r="K64" s="224" t="s">
        <v>256</v>
      </c>
      <c r="L64" s="224" t="s">
        <v>256</v>
      </c>
      <c r="M64" s="224" t="s">
        <v>256</v>
      </c>
      <c r="N64" s="224" t="s">
        <v>256</v>
      </c>
      <c r="O64" s="320" t="s">
        <v>256</v>
      </c>
      <c r="P64" s="226" t="s">
        <v>256</v>
      </c>
      <c r="Q64" s="374">
        <v>12548</v>
      </c>
      <c r="R64" s="323" t="s">
        <v>1673</v>
      </c>
      <c r="S64" s="324" t="str">
        <f t="shared" si="0"/>
        <v>sûr</v>
      </c>
      <c r="T64" s="325" t="str">
        <f t="shared" si="1"/>
        <v>acceptable</v>
      </c>
      <c r="U64" s="228" t="s">
        <v>1673</v>
      </c>
      <c r="V64" s="228" t="s">
        <v>1673</v>
      </c>
      <c r="W64" s="228" t="s">
        <v>1674</v>
      </c>
      <c r="X64" s="229" t="s">
        <v>1673</v>
      </c>
      <c r="Y64" s="288" t="str">
        <f t="shared" si="2"/>
        <v>oui</v>
      </c>
      <c r="Z64" s="328" t="str">
        <f t="shared" si="3"/>
        <v>élevé</v>
      </c>
      <c r="AA64" s="9"/>
      <c r="AB64" s="1"/>
      <c r="AC64" s="190">
        <f>_xlfn.XLOOKUP(E64&amp;F64&amp;G64&amp;H64&amp;I64&amp;J64&amp;K64&amp;L64&amp;M64&amp;N64&amp;O64&amp;P64,'[2]2.4 wsLookup'!$M$2:$M$96,'[2]2.4 wsLookup'!$N$2:$N$96,"Introuvable")</f>
        <v>8.5699999999999993E-6</v>
      </c>
      <c r="AD64" s="190">
        <f>_xlfn.XLOOKUP(E64&amp;F64&amp;G64&amp;H64&amp;I64&amp;J64&amp;K64&amp;L64&amp;M64&amp;N64&amp;O64&amp;P64,'[2]2.4 wsLookup'!$M$2:$M$96,'[2]2.4 wsLookup'!$O$2:$O$96,"Introuvable")</f>
        <v>1.1200000000000001</v>
      </c>
      <c r="AE64" s="90">
        <f t="shared" si="5"/>
        <v>0.33372156622555976</v>
      </c>
      <c r="AF64" s="206">
        <f>_xlfn.XLOOKUP(E64&amp;F64&amp;G64&amp;H64&amp;I64&amp;J64&amp;K64&amp;L64&amp;M64&amp;N64&amp;O64&amp;P64,'[2]2.4 wsLookup'!$M$2:$M$96,'[2]2.4 wsLookup'!$Q$2:$Q$96,"Introuvable")</f>
        <v>1.2077407737518886</v>
      </c>
      <c r="AG64" s="91">
        <f>_xlfn.XLOOKUP(E64&amp;F64&amp;G64&amp;H64&amp;I64&amp;J64&amp;K64&amp;L64&amp;M64&amp;N64&amp;O64&amp;P64,'[2]2.4 wsLookup'!$M$2:$M$96,'[2]2.4 wsLookup'!$P$2:$P$96,"Introuvable")</f>
        <v>0.05</v>
      </c>
      <c r="AH64" s="91">
        <f>_xlfn.XLOOKUP(E64&amp;F64&amp;G64&amp;H64&amp;I64&amp;J64&amp;K64&amp;L64&amp;M64&amp;N64&amp;O64&amp;P64,'[2]2.4 wsLookup'!$M$2:$M$96,'[2]2.4 wsLookup'!$R$2:$R$96,"Introuvable")</f>
        <v>5.3249999999999999E-2</v>
      </c>
      <c r="AI64" s="193">
        <f>_xlfn.XLOOKUP(E64&amp;F64&amp;G64&amp;H64&amp;I64&amp;J64&amp;K64&amp;L64&amp;M64&amp;N64&amp;O64&amp;P64,'[2]2.4 wsLookup'!$M$2:$M$96,'[2]2.4 wsLookup'!$S$2:$S$96,"Introuvable")</f>
        <v>12000</v>
      </c>
      <c r="AK64" t="str">
        <f t="shared" si="4"/>
        <v>en localité|non|3|non|non|-|-|-|-|-|-|-</v>
      </c>
      <c r="AO64" t="s">
        <v>1686</v>
      </c>
    </row>
    <row r="65" spans="1:41" ht="39" customHeight="1">
      <c r="A65" s="1"/>
      <c r="B65" s="1"/>
      <c r="C65" s="188" t="s">
        <v>1753</v>
      </c>
      <c r="D65" s="224" t="s">
        <v>1678</v>
      </c>
      <c r="E65" s="225" t="s">
        <v>1679</v>
      </c>
      <c r="F65" s="225" t="s">
        <v>1673</v>
      </c>
      <c r="G65" s="225" t="s">
        <v>255</v>
      </c>
      <c r="H65" s="225" t="s">
        <v>1673</v>
      </c>
      <c r="I65" s="225" t="s">
        <v>1673</v>
      </c>
      <c r="J65" s="320" t="s">
        <v>256</v>
      </c>
      <c r="K65" s="224" t="s">
        <v>256</v>
      </c>
      <c r="L65" s="224" t="s">
        <v>256</v>
      </c>
      <c r="M65" s="224" t="s">
        <v>256</v>
      </c>
      <c r="N65" s="224" t="s">
        <v>256</v>
      </c>
      <c r="O65" s="320" t="s">
        <v>256</v>
      </c>
      <c r="P65" s="226" t="s">
        <v>256</v>
      </c>
      <c r="Q65" s="374">
        <v>12951</v>
      </c>
      <c r="R65" s="323" t="s">
        <v>1673</v>
      </c>
      <c r="S65" s="324" t="str">
        <f t="shared" si="0"/>
        <v>acceptable</v>
      </c>
      <c r="T65" s="325" t="str">
        <f t="shared" si="1"/>
        <v>acceptable</v>
      </c>
      <c r="U65" s="228" t="s">
        <v>1673</v>
      </c>
      <c r="V65" s="228" t="s">
        <v>1673</v>
      </c>
      <c r="W65" s="228" t="s">
        <v>1673</v>
      </c>
      <c r="X65" s="229" t="s">
        <v>1673</v>
      </c>
      <c r="Y65" s="288" t="str">
        <f t="shared" si="2"/>
        <v>non</v>
      </c>
      <c r="Z65" s="328" t="str">
        <f t="shared" si="3"/>
        <v>moyen</v>
      </c>
      <c r="AA65" s="9"/>
      <c r="AB65" s="1"/>
      <c r="AC65" s="190">
        <f>_xlfn.XLOOKUP(E65&amp;F65&amp;G65&amp;H65&amp;I65&amp;J65&amp;K65&amp;L65&amp;M65&amp;N65&amp;O65&amp;P65,'[2]2.4 wsLookup'!$M$2:$M$96,'[2]2.4 wsLookup'!$N$2:$N$96,"Introuvable")</f>
        <v>1.27E-5</v>
      </c>
      <c r="AD65" s="190">
        <f>_xlfn.XLOOKUP(E65&amp;F65&amp;G65&amp;H65&amp;I65&amp;J65&amp;K65&amp;L65&amp;M65&amp;N65&amp;O65&amp;P65,'[2]2.4 wsLookup'!$M$2:$M$96,'[2]2.4 wsLookup'!$O$2:$O$96,"Introuvable")</f>
        <v>1.1200000000000001</v>
      </c>
      <c r="AE65" s="90">
        <f t="shared" si="5"/>
        <v>0.51236967849490278</v>
      </c>
      <c r="AF65" s="206">
        <f>_xlfn.XLOOKUP(E65&amp;F65&amp;G65&amp;H65&amp;I65&amp;J65&amp;K65&amp;L65&amp;M65&amp;N65&amp;O65&amp;P65,'[2]2.4 wsLookup'!$M$2:$M$96,'[2]2.4 wsLookup'!$Q$2:$Q$96,"Introuvable")</f>
        <v>1.2077407737518886</v>
      </c>
      <c r="AG65" s="91">
        <f>_xlfn.XLOOKUP(E65&amp;F65&amp;G65&amp;H65&amp;I65&amp;J65&amp;K65&amp;L65&amp;M65&amp;N65&amp;O65&amp;P65,'[2]2.4 wsLookup'!$M$2:$M$96,'[2]2.4 wsLookup'!$P$2:$P$96,"Introuvable")</f>
        <v>5.7000000000000002E-2</v>
      </c>
      <c r="AH65" s="91">
        <f>_xlfn.XLOOKUP(E65&amp;F65&amp;G65&amp;H65&amp;I65&amp;J65&amp;K65&amp;L65&amp;M65&amp;N65&amp;O65&amp;P65,'[2]2.4 wsLookup'!$M$2:$M$96,'[2]2.4 wsLookup'!$R$2:$R$96,"Introuvable")</f>
        <v>5.3249999999999999E-2</v>
      </c>
      <c r="AI65" s="193">
        <f>_xlfn.XLOOKUP(E65&amp;F65&amp;G65&amp;H65&amp;I65&amp;J65&amp;K65&amp;L65&amp;M65&amp;N65&amp;O65&amp;P65,'[2]2.4 wsLookup'!$M$2:$M$96,'[2]2.4 wsLookup'!$S$2:$S$96,"Introuvable")</f>
        <v>14000</v>
      </c>
      <c r="AK65" t="str">
        <f t="shared" si="4"/>
        <v>en localité|non|&gt;3|non|non|-|-|-|-|-|-|-</v>
      </c>
      <c r="AO65" t="s">
        <v>1719</v>
      </c>
    </row>
    <row r="66" spans="1:41" ht="39" customHeight="1">
      <c r="A66" s="1"/>
      <c r="B66" s="1"/>
      <c r="C66" s="188" t="s">
        <v>1754</v>
      </c>
      <c r="D66" s="224" t="s">
        <v>1678</v>
      </c>
      <c r="E66" s="225" t="s">
        <v>1705</v>
      </c>
      <c r="F66" s="225" t="s">
        <v>1673</v>
      </c>
      <c r="G66" s="225" t="s">
        <v>257</v>
      </c>
      <c r="H66" s="225" t="s">
        <v>1674</v>
      </c>
      <c r="I66" s="225" t="s">
        <v>1674</v>
      </c>
      <c r="J66" s="320" t="s">
        <v>256</v>
      </c>
      <c r="K66" s="224" t="s">
        <v>256</v>
      </c>
      <c r="L66" s="224" t="s">
        <v>256</v>
      </c>
      <c r="M66" s="224" t="s">
        <v>256</v>
      </c>
      <c r="N66" s="224" t="s">
        <v>256</v>
      </c>
      <c r="O66" s="320" t="s">
        <v>256</v>
      </c>
      <c r="P66" s="226" t="s">
        <v>256</v>
      </c>
      <c r="Q66" s="374">
        <v>11917</v>
      </c>
      <c r="R66" s="323" t="s">
        <v>1673</v>
      </c>
      <c r="S66" s="324" t="str">
        <f t="shared" si="0"/>
        <v>sûr</v>
      </c>
      <c r="T66" s="325" t="str">
        <f t="shared" si="1"/>
        <v>fluide</v>
      </c>
      <c r="U66" s="228" t="s">
        <v>1673</v>
      </c>
      <c r="V66" s="228" t="s">
        <v>1673</v>
      </c>
      <c r="W66" s="228" t="s">
        <v>1673</v>
      </c>
      <c r="X66" s="229" t="s">
        <v>1673</v>
      </c>
      <c r="Y66" s="288" t="str">
        <f t="shared" si="2"/>
        <v>non</v>
      </c>
      <c r="Z66" s="328" t="str">
        <f t="shared" si="3"/>
        <v>faible</v>
      </c>
      <c r="AA66" s="9"/>
      <c r="AB66" s="1"/>
      <c r="AC66" s="190">
        <f>_xlfn.XLOOKUP(E66&amp;F66&amp;G66&amp;H66&amp;I66&amp;J66&amp;K66&amp;L66&amp;M66&amp;N66&amp;O66&amp;P66,'[2]2.4 wsLookup'!$M$2:$M$96,'[2]2.4 wsLookup'!$N$2:$N$96,"Introuvable")</f>
        <v>8.3900000000000012E-4</v>
      </c>
      <c r="AD66" s="190">
        <f>_xlfn.XLOOKUP(E66&amp;F66&amp;G66&amp;H66&amp;I66&amp;J66&amp;K66&amp;L66&amp;M66&amp;N66&amp;O66&amp;P66,'[2]2.4 wsLookup'!$M$2:$M$96,'[2]2.4 wsLookup'!$O$2:$O$96,"Introuvable")</f>
        <v>0.63</v>
      </c>
      <c r="AE66" s="90">
        <f t="shared" si="5"/>
        <v>0.31027524885823987</v>
      </c>
      <c r="AF66" s="206">
        <f>_xlfn.XLOOKUP(E66&amp;F66&amp;G66&amp;H66&amp;I66&amp;J66&amp;K66&amp;L66&amp;M66&amp;N66&amp;O66&amp;P66,'[2]2.4 wsLookup'!$M$2:$M$96,'[2]2.4 wsLookup'!$Q$2:$Q$96,"Introuvable")</f>
        <v>1.0193449865833717</v>
      </c>
      <c r="AG66" s="91">
        <f>_xlfn.XLOOKUP(E66&amp;F66&amp;G66&amp;H66&amp;I66&amp;J66&amp;K66&amp;L66&amp;M66&amp;N66&amp;O66&amp;P66,'[2]2.4 wsLookup'!$M$2:$M$96,'[2]2.4 wsLookup'!$P$2:$P$96,"Introuvable")</f>
        <v>2.1999999999999999E-2</v>
      </c>
      <c r="AH66" s="91">
        <f>_xlfn.XLOOKUP(E66&amp;F66&amp;G66&amp;H66&amp;I66&amp;J66&amp;K66&amp;L66&amp;M66&amp;N66&amp;O66&amp;P66,'[2]2.4 wsLookup'!$M$2:$M$96,'[2]2.4 wsLookup'!$R$2:$R$96,"Introuvable")</f>
        <v>5.6250000000000001E-2</v>
      </c>
      <c r="AI66" s="193">
        <f>_xlfn.XLOOKUP(E66&amp;F66&amp;G66&amp;H66&amp;I66&amp;J66&amp;K66&amp;L66&amp;M66&amp;N66&amp;O66&amp;P66,'[2]2.4 wsLookup'!$M$2:$M$96,'[2]2.4 wsLookup'!$S$2:$S$96,"Introuvable")</f>
        <v>40000</v>
      </c>
      <c r="AK66" t="str">
        <f t="shared" si="4"/>
        <v>hors localité|non|3|oui|oui|-|-|-|-|-|-|-</v>
      </c>
      <c r="AO66" t="s">
        <v>1706</v>
      </c>
    </row>
    <row r="67" spans="1:41" ht="39" customHeight="1">
      <c r="A67" s="1"/>
      <c r="B67" s="1"/>
      <c r="C67" s="188" t="s">
        <v>1755</v>
      </c>
      <c r="D67" s="224" t="s">
        <v>1678</v>
      </c>
      <c r="E67" s="225" t="s">
        <v>1679</v>
      </c>
      <c r="F67" s="225" t="s">
        <v>1673</v>
      </c>
      <c r="G67" s="225" t="s">
        <v>257</v>
      </c>
      <c r="H67" s="225" t="s">
        <v>1673</v>
      </c>
      <c r="I67" s="225" t="s">
        <v>1674</v>
      </c>
      <c r="J67" s="320" t="s">
        <v>256</v>
      </c>
      <c r="K67" s="224" t="s">
        <v>256</v>
      </c>
      <c r="L67" s="224" t="s">
        <v>256</v>
      </c>
      <c r="M67" s="224" t="s">
        <v>256</v>
      </c>
      <c r="N67" s="224" t="s">
        <v>256</v>
      </c>
      <c r="O67" s="320" t="s">
        <v>256</v>
      </c>
      <c r="P67" s="226" t="s">
        <v>256</v>
      </c>
      <c r="Q67" s="374">
        <v>25814</v>
      </c>
      <c r="R67" s="323" t="s">
        <v>1673</v>
      </c>
      <c r="S67" s="324" t="str">
        <f t="shared" si="0"/>
        <v>acceptable</v>
      </c>
      <c r="T67" s="325" t="str">
        <f t="shared" si="1"/>
        <v>instable</v>
      </c>
      <c r="U67" s="228" t="s">
        <v>1674</v>
      </c>
      <c r="V67" s="228" t="s">
        <v>1673</v>
      </c>
      <c r="W67" s="228" t="s">
        <v>1673</v>
      </c>
      <c r="X67" s="229" t="s">
        <v>1673</v>
      </c>
      <c r="Y67" s="288" t="str">
        <f t="shared" si="2"/>
        <v>oui</v>
      </c>
      <c r="Z67" s="328" t="str">
        <f t="shared" si="3"/>
        <v>élevé</v>
      </c>
      <c r="AA67" s="9"/>
      <c r="AB67" s="1"/>
      <c r="AC67" s="190">
        <f>_xlfn.XLOOKUP(E67&amp;F67&amp;G67&amp;H67&amp;I67&amp;J67&amp;K67&amp;L67&amp;M67&amp;N67&amp;O67&amp;P67,'[2]2.4 wsLookup'!$M$2:$M$96,'[2]2.4 wsLookup'!$N$2:$N$96,"Introuvable")</f>
        <v>1.5600000000000003E-5</v>
      </c>
      <c r="AD67" s="190">
        <f>_xlfn.XLOOKUP(E67&amp;F67&amp;G67&amp;H67&amp;I67&amp;J67&amp;K67&amp;L67&amp;M67&amp;N67&amp;O67&amp;P67,'[2]2.4 wsLookup'!$M$2:$M$96,'[2]2.4 wsLookup'!$O$2:$O$96,"Introuvable")</f>
        <v>1.1200000000000001</v>
      </c>
      <c r="AE67" s="90">
        <f t="shared" si="5"/>
        <v>1.3627071692382413</v>
      </c>
      <c r="AF67" s="206">
        <f>_xlfn.XLOOKUP(E67&amp;F67&amp;G67&amp;H67&amp;I67&amp;J67&amp;K67&amp;L67&amp;M67&amp;N67&amp;O67&amp;P67,'[2]2.4 wsLookup'!$M$2:$M$96,'[2]2.4 wsLookup'!$Q$2:$Q$96,"Introuvable")</f>
        <v>1.2077407737518886</v>
      </c>
      <c r="AG67" s="91">
        <f>_xlfn.XLOOKUP(E67&amp;F67&amp;G67&amp;H67&amp;I67&amp;J67&amp;K67&amp;L67&amp;M67&amp;N67&amp;O67&amp;P67,'[2]2.4 wsLookup'!$M$2:$M$96,'[2]2.4 wsLookup'!$P$2:$P$96,"Introuvable")</f>
        <v>0.05</v>
      </c>
      <c r="AH67" s="91">
        <f>_xlfn.XLOOKUP(E67&amp;F67&amp;G67&amp;H67&amp;I67&amp;J67&amp;K67&amp;L67&amp;M67&amp;N67&amp;O67&amp;P67,'[2]2.4 wsLookup'!$M$2:$M$96,'[2]2.4 wsLookup'!$R$2:$R$96,"Introuvable")</f>
        <v>5.3249999999999999E-2</v>
      </c>
      <c r="AI67" s="193">
        <f>_xlfn.XLOOKUP(E67&amp;F67&amp;G67&amp;H67&amp;I67&amp;J67&amp;K67&amp;L67&amp;M67&amp;N67&amp;O67&amp;P67,'[2]2.4 wsLookup'!$M$2:$M$96,'[2]2.4 wsLookup'!$S$2:$S$96,"Introuvable")</f>
        <v>11000</v>
      </c>
      <c r="AK67" t="str">
        <f t="shared" si="4"/>
        <v>en localité|non|3|non|oui|-|-|-|-|-|-|-</v>
      </c>
      <c r="AO67" t="s">
        <v>1756</v>
      </c>
    </row>
    <row r="68" spans="1:41" ht="39" customHeight="1">
      <c r="A68" s="1"/>
      <c r="B68" s="1"/>
      <c r="C68" s="188" t="s">
        <v>1757</v>
      </c>
      <c r="D68" s="224" t="s">
        <v>1678</v>
      </c>
      <c r="E68" s="225" t="s">
        <v>1679</v>
      </c>
      <c r="F68" s="225" t="s">
        <v>1673</v>
      </c>
      <c r="G68" s="225" t="s">
        <v>255</v>
      </c>
      <c r="H68" s="225" t="s">
        <v>1674</v>
      </c>
      <c r="I68" s="225" t="s">
        <v>1674</v>
      </c>
      <c r="J68" s="320" t="s">
        <v>256</v>
      </c>
      <c r="K68" s="224" t="s">
        <v>256</v>
      </c>
      <c r="L68" s="224" t="s">
        <v>256</v>
      </c>
      <c r="M68" s="224" t="s">
        <v>256</v>
      </c>
      <c r="N68" s="224" t="s">
        <v>256</v>
      </c>
      <c r="O68" s="320" t="s">
        <v>256</v>
      </c>
      <c r="P68" s="226" t="s">
        <v>256</v>
      </c>
      <c r="Q68" s="374">
        <v>8462</v>
      </c>
      <c r="R68" s="323" t="s">
        <v>1673</v>
      </c>
      <c r="S68" s="324" t="str">
        <f t="shared" si="0"/>
        <v>sûr</v>
      </c>
      <c r="T68" s="325" t="str">
        <f t="shared" si="1"/>
        <v>fluide</v>
      </c>
      <c r="U68" s="228" t="s">
        <v>1673</v>
      </c>
      <c r="V68" s="228" t="s">
        <v>1673</v>
      </c>
      <c r="W68" s="228" t="s">
        <v>1673</v>
      </c>
      <c r="X68" s="229" t="s">
        <v>1673</v>
      </c>
      <c r="Y68" s="288" t="str">
        <f t="shared" si="2"/>
        <v>non</v>
      </c>
      <c r="Z68" s="328" t="str">
        <f t="shared" si="3"/>
        <v>faible</v>
      </c>
      <c r="AA68" s="9"/>
      <c r="AB68" s="1"/>
      <c r="AC68" s="190">
        <f>_xlfn.XLOOKUP(E68&amp;F68&amp;G68&amp;H68&amp;I68&amp;J68&amp;K68&amp;L68&amp;M68&amp;N68&amp;O68&amp;P68,'[2]2.4 wsLookup'!$M$2:$M$96,'[2]2.4 wsLookup'!$N$2:$N$96,"Introuvable")</f>
        <v>1.98E-3</v>
      </c>
      <c r="AD68" s="190">
        <f>_xlfn.XLOOKUP(E68&amp;F68&amp;G68&amp;H68&amp;I68&amp;J68&amp;K68&amp;L68&amp;M68&amp;N68&amp;O68&amp;P68,'[2]2.4 wsLookup'!$M$2:$M$96,'[2]2.4 wsLookup'!$O$2:$O$96,"Introuvable")</f>
        <v>0.66</v>
      </c>
      <c r="AE68" s="90">
        <f t="shared" si="5"/>
        <v>0.77410056442793262</v>
      </c>
      <c r="AF68" s="206">
        <f>_xlfn.XLOOKUP(E68&amp;F68&amp;G68&amp;H68&amp;I68&amp;J68&amp;K68&amp;L68&amp;M68&amp;N68&amp;O68&amp;P68,'[2]2.4 wsLookup'!$M$2:$M$96,'[2]2.4 wsLookup'!$Q$2:$Q$96,"Introuvable")</f>
        <v>1.2077407737518886</v>
      </c>
      <c r="AG68" s="91">
        <f>_xlfn.XLOOKUP(E68&amp;F68&amp;G68&amp;H68&amp;I68&amp;J68&amp;K68&amp;L68&amp;M68&amp;N68&amp;O68&amp;P68,'[2]2.4 wsLookup'!$M$2:$M$96,'[2]2.4 wsLookup'!$P$2:$P$96,"Introuvable")</f>
        <v>3.7999999999999999E-2</v>
      </c>
      <c r="AH68" s="91">
        <f>_xlfn.XLOOKUP(E68&amp;F68&amp;G68&amp;H68&amp;I68&amp;J68&amp;K68&amp;L68&amp;M68&amp;N68&amp;O68&amp;P68,'[2]2.4 wsLookup'!$M$2:$M$96,'[2]2.4 wsLookup'!$R$2:$R$96,"Introuvable")</f>
        <v>5.3249999999999999E-2</v>
      </c>
      <c r="AI68" s="193">
        <f>_xlfn.XLOOKUP(E68&amp;F68&amp;G68&amp;H68&amp;I68&amp;J68&amp;K68&amp;L68&amp;M68&amp;N68&amp;O68&amp;P68,'[2]2.4 wsLookup'!$M$2:$M$96,'[2]2.4 wsLookup'!$S$2:$S$96,"Introuvable")</f>
        <v>40000</v>
      </c>
      <c r="AK68" t="str">
        <f t="shared" si="4"/>
        <v>en localité|non|&gt;3|oui|oui|-|-|-|-|-|-|-</v>
      </c>
      <c r="AO68" t="s">
        <v>1758</v>
      </c>
    </row>
    <row r="69" spans="1:41" ht="39" customHeight="1">
      <c r="A69" s="1"/>
      <c r="B69" s="1"/>
      <c r="C69" s="188" t="s">
        <v>1759</v>
      </c>
      <c r="D69" s="224" t="s">
        <v>1678</v>
      </c>
      <c r="E69" s="225" t="s">
        <v>1679</v>
      </c>
      <c r="F69" s="225" t="s">
        <v>1673</v>
      </c>
      <c r="G69" s="225" t="s">
        <v>257</v>
      </c>
      <c r="H69" s="225" t="s">
        <v>1673</v>
      </c>
      <c r="I69" s="225" t="s">
        <v>1674</v>
      </c>
      <c r="J69" s="320" t="s">
        <v>256</v>
      </c>
      <c r="K69" s="224" t="s">
        <v>256</v>
      </c>
      <c r="L69" s="224" t="s">
        <v>256</v>
      </c>
      <c r="M69" s="224" t="s">
        <v>256</v>
      </c>
      <c r="N69" s="224" t="s">
        <v>256</v>
      </c>
      <c r="O69" s="320" t="s">
        <v>256</v>
      </c>
      <c r="P69" s="226" t="s">
        <v>256</v>
      </c>
      <c r="Q69" s="374">
        <v>14988</v>
      </c>
      <c r="R69" s="323" t="s">
        <v>1673</v>
      </c>
      <c r="S69" s="324" t="str">
        <f t="shared" si="0"/>
        <v>sûr</v>
      </c>
      <c r="T69" s="325" t="str">
        <f t="shared" si="1"/>
        <v>instable</v>
      </c>
      <c r="U69" s="228" t="s">
        <v>1673</v>
      </c>
      <c r="V69" s="228" t="s">
        <v>1673</v>
      </c>
      <c r="W69" s="228" t="s">
        <v>1673</v>
      </c>
      <c r="X69" s="229" t="s">
        <v>1673</v>
      </c>
      <c r="Y69" s="288" t="str">
        <f t="shared" si="2"/>
        <v>non</v>
      </c>
      <c r="Z69" s="328" t="str">
        <f t="shared" si="3"/>
        <v>élevé</v>
      </c>
      <c r="AA69" s="9"/>
      <c r="AB69" s="1"/>
      <c r="AC69" s="190">
        <f>_xlfn.XLOOKUP(E69&amp;F69&amp;G69&amp;H69&amp;I69&amp;J69&amp;K69&amp;L69&amp;M69&amp;N69&amp;O69&amp;P69,'[2]2.4 wsLookup'!$M$2:$M$96,'[2]2.4 wsLookup'!$N$2:$N$96,"Introuvable")</f>
        <v>1.5600000000000003E-5</v>
      </c>
      <c r="AD69" s="190">
        <f>_xlfn.XLOOKUP(E69&amp;F69&amp;G69&amp;H69&amp;I69&amp;J69&amp;K69&amp;L69&amp;M69&amp;N69&amp;O69&amp;P69,'[2]2.4 wsLookup'!$M$2:$M$96,'[2]2.4 wsLookup'!$O$2:$O$96,"Introuvable")</f>
        <v>1.1200000000000001</v>
      </c>
      <c r="AE69" s="90">
        <f t="shared" si="5"/>
        <v>0.74123774283924648</v>
      </c>
      <c r="AF69" s="206">
        <f>_xlfn.XLOOKUP(E69&amp;F69&amp;G69&amp;H69&amp;I69&amp;J69&amp;K69&amp;L69&amp;M69&amp;N69&amp;O69&amp;P69,'[2]2.4 wsLookup'!$M$2:$M$96,'[2]2.4 wsLookup'!$Q$2:$Q$96,"Introuvable")</f>
        <v>1.2077407737518886</v>
      </c>
      <c r="AG69" s="91">
        <f>_xlfn.XLOOKUP(E69&amp;F69&amp;G69&amp;H69&amp;I69&amp;J69&amp;K69&amp;L69&amp;M69&amp;N69&amp;O69&amp;P69,'[2]2.4 wsLookup'!$M$2:$M$96,'[2]2.4 wsLookup'!$P$2:$P$96,"Introuvable")</f>
        <v>0.05</v>
      </c>
      <c r="AH69" s="91">
        <f>_xlfn.XLOOKUP(E69&amp;F69&amp;G69&amp;H69&amp;I69&amp;J69&amp;K69&amp;L69&amp;M69&amp;N69&amp;O69&amp;P69,'[2]2.4 wsLookup'!$M$2:$M$96,'[2]2.4 wsLookup'!$R$2:$R$96,"Introuvable")</f>
        <v>5.3249999999999999E-2</v>
      </c>
      <c r="AI69" s="193">
        <f>_xlfn.XLOOKUP(E69&amp;F69&amp;G69&amp;H69&amp;I69&amp;J69&amp;K69&amp;L69&amp;M69&amp;N69&amp;O69&amp;P69,'[2]2.4 wsLookup'!$M$2:$M$96,'[2]2.4 wsLookup'!$S$2:$S$96,"Introuvable")</f>
        <v>11000</v>
      </c>
      <c r="AK69" t="str">
        <f t="shared" si="4"/>
        <v>en localité|non|3|non|oui|-|-|-|-|-|-|-</v>
      </c>
      <c r="AO69" t="s">
        <v>1727</v>
      </c>
    </row>
    <row r="70" spans="1:41" ht="39" customHeight="1">
      <c r="A70" s="1"/>
      <c r="B70" s="1"/>
      <c r="C70" s="188" t="s">
        <v>1760</v>
      </c>
      <c r="D70" s="224" t="s">
        <v>1678</v>
      </c>
      <c r="E70" s="225" t="s">
        <v>1679</v>
      </c>
      <c r="F70" s="225" t="s">
        <v>1673</v>
      </c>
      <c r="G70" s="225" t="s">
        <v>257</v>
      </c>
      <c r="H70" s="225" t="s">
        <v>1673</v>
      </c>
      <c r="I70" s="225" t="s">
        <v>1674</v>
      </c>
      <c r="J70" s="320" t="s">
        <v>256</v>
      </c>
      <c r="K70" s="224" t="s">
        <v>256</v>
      </c>
      <c r="L70" s="224" t="s">
        <v>256</v>
      </c>
      <c r="M70" s="224" t="s">
        <v>256</v>
      </c>
      <c r="N70" s="224" t="s">
        <v>256</v>
      </c>
      <c r="O70" s="320" t="s">
        <v>256</v>
      </c>
      <c r="P70" s="226" t="s">
        <v>256</v>
      </c>
      <c r="Q70" s="374">
        <v>15578</v>
      </c>
      <c r="R70" s="323" t="s">
        <v>1673</v>
      </c>
      <c r="S70" s="324" t="str">
        <f t="shared" si="0"/>
        <v>sûr</v>
      </c>
      <c r="T70" s="325" t="str">
        <f t="shared" si="1"/>
        <v>instable</v>
      </c>
      <c r="U70" s="228" t="s">
        <v>1673</v>
      </c>
      <c r="V70" s="228" t="s">
        <v>1673</v>
      </c>
      <c r="W70" s="228" t="s">
        <v>1673</v>
      </c>
      <c r="X70" s="229" t="s">
        <v>1673</v>
      </c>
      <c r="Y70" s="288" t="str">
        <f t="shared" si="2"/>
        <v>non</v>
      </c>
      <c r="Z70" s="328" t="str">
        <f t="shared" si="3"/>
        <v>élevé</v>
      </c>
      <c r="AA70" s="9"/>
      <c r="AB70" s="1"/>
      <c r="AC70" s="190">
        <f>_xlfn.XLOOKUP(E70&amp;F70&amp;G70&amp;H70&amp;I70&amp;J70&amp;K70&amp;L70&amp;M70&amp;N70&amp;O70&amp;P70,'[2]2.4 wsLookup'!$M$2:$M$96,'[2]2.4 wsLookup'!$N$2:$N$96,"Introuvable")</f>
        <v>1.5600000000000003E-5</v>
      </c>
      <c r="AD70" s="190">
        <f>_xlfn.XLOOKUP(E70&amp;F70&amp;G70&amp;H70&amp;I70&amp;J70&amp;K70&amp;L70&amp;M70&amp;N70&amp;O70&amp;P70,'[2]2.4 wsLookup'!$M$2:$M$96,'[2]2.4 wsLookup'!$O$2:$O$96,"Introuvable")</f>
        <v>1.1200000000000001</v>
      </c>
      <c r="AE70" s="90">
        <f t="shared" si="5"/>
        <v>0.77399419203501008</v>
      </c>
      <c r="AF70" s="206">
        <f>_xlfn.XLOOKUP(E70&amp;F70&amp;G70&amp;H70&amp;I70&amp;J70&amp;K70&amp;L70&amp;M70&amp;N70&amp;O70&amp;P70,'[2]2.4 wsLookup'!$M$2:$M$96,'[2]2.4 wsLookup'!$Q$2:$Q$96,"Introuvable")</f>
        <v>1.2077407737518886</v>
      </c>
      <c r="AG70" s="91">
        <f>_xlfn.XLOOKUP(E70&amp;F70&amp;G70&amp;H70&amp;I70&amp;J70&amp;K70&amp;L70&amp;M70&amp;N70&amp;O70&amp;P70,'[2]2.4 wsLookup'!$M$2:$M$96,'[2]2.4 wsLookup'!$P$2:$P$96,"Introuvable")</f>
        <v>0.05</v>
      </c>
      <c r="AH70" s="91">
        <f>_xlfn.XLOOKUP(E70&amp;F70&amp;G70&amp;H70&amp;I70&amp;J70&amp;K70&amp;L70&amp;M70&amp;N70&amp;O70&amp;P70,'[2]2.4 wsLookup'!$M$2:$M$96,'[2]2.4 wsLookup'!$R$2:$R$96,"Introuvable")</f>
        <v>5.3249999999999999E-2</v>
      </c>
      <c r="AI70" s="193">
        <f>_xlfn.XLOOKUP(E70&amp;F70&amp;G70&amp;H70&amp;I70&amp;J70&amp;K70&amp;L70&amp;M70&amp;N70&amp;O70&amp;P70,'[2]2.4 wsLookup'!$M$2:$M$96,'[2]2.4 wsLookup'!$S$2:$S$96,"Introuvable")</f>
        <v>11000</v>
      </c>
      <c r="AK70" t="str">
        <f t="shared" si="4"/>
        <v>en localité|non|3|non|oui|-|-|-|-|-|-|-</v>
      </c>
      <c r="AO70" t="s">
        <v>1727</v>
      </c>
    </row>
    <row r="71" spans="1:41" ht="39" customHeight="1">
      <c r="A71" s="1"/>
      <c r="B71" s="1"/>
      <c r="C71" s="188" t="s">
        <v>1761</v>
      </c>
      <c r="D71" s="224" t="s">
        <v>1678</v>
      </c>
      <c r="E71" s="225" t="s">
        <v>1679</v>
      </c>
      <c r="F71" s="225" t="s">
        <v>1673</v>
      </c>
      <c r="G71" s="225" t="s">
        <v>257</v>
      </c>
      <c r="H71" s="225" t="s">
        <v>1673</v>
      </c>
      <c r="I71" s="225" t="s">
        <v>1674</v>
      </c>
      <c r="J71" s="320" t="s">
        <v>256</v>
      </c>
      <c r="K71" s="224" t="s">
        <v>256</v>
      </c>
      <c r="L71" s="224" t="s">
        <v>256</v>
      </c>
      <c r="M71" s="224" t="s">
        <v>256</v>
      </c>
      <c r="N71" s="224" t="s">
        <v>256</v>
      </c>
      <c r="O71" s="320" t="s">
        <v>256</v>
      </c>
      <c r="P71" s="226" t="s">
        <v>256</v>
      </c>
      <c r="Q71" s="374">
        <v>12946</v>
      </c>
      <c r="R71" s="323" t="s">
        <v>1673</v>
      </c>
      <c r="S71" s="324" t="str">
        <f t="shared" si="0"/>
        <v>sûr</v>
      </c>
      <c r="T71" s="325" t="str">
        <f t="shared" si="1"/>
        <v>acceptable</v>
      </c>
      <c r="U71" s="228" t="s">
        <v>1673</v>
      </c>
      <c r="V71" s="228" t="s">
        <v>1673</v>
      </c>
      <c r="W71" s="228" t="s">
        <v>1673</v>
      </c>
      <c r="X71" s="229" t="s">
        <v>1673</v>
      </c>
      <c r="Y71" s="288" t="str">
        <f t="shared" si="2"/>
        <v>non</v>
      </c>
      <c r="Z71" s="328" t="str">
        <f t="shared" si="3"/>
        <v>moyen</v>
      </c>
      <c r="AA71" s="9"/>
      <c r="AB71" s="1"/>
      <c r="AC71" s="190">
        <f>_xlfn.XLOOKUP(E71&amp;F71&amp;G71&amp;H71&amp;I71&amp;J71&amp;K71&amp;L71&amp;M71&amp;N71&amp;O71&amp;P71,'[2]2.4 wsLookup'!$M$2:$M$96,'[2]2.4 wsLookup'!$N$2:$N$96,"Introuvable")</f>
        <v>1.5600000000000003E-5</v>
      </c>
      <c r="AD71" s="190">
        <f>_xlfn.XLOOKUP(E71&amp;F71&amp;G71&amp;H71&amp;I71&amp;J71&amp;K71&amp;L71&amp;M71&amp;N71&amp;O71&amp;P71,'[2]2.4 wsLookup'!$M$2:$M$96,'[2]2.4 wsLookup'!$O$2:$O$96,"Introuvable")</f>
        <v>1.1200000000000001</v>
      </c>
      <c r="AE71" s="90">
        <f t="shared" si="5"/>
        <v>0.62909534750531115</v>
      </c>
      <c r="AF71" s="206">
        <f>_xlfn.XLOOKUP(E71&amp;F71&amp;G71&amp;H71&amp;I71&amp;J71&amp;K71&amp;L71&amp;M71&amp;N71&amp;O71&amp;P71,'[2]2.4 wsLookup'!$M$2:$M$96,'[2]2.4 wsLookup'!$Q$2:$Q$96,"Introuvable")</f>
        <v>1.2077407737518886</v>
      </c>
      <c r="AG71" s="91">
        <f>_xlfn.XLOOKUP(E71&amp;F71&amp;G71&amp;H71&amp;I71&amp;J71&amp;K71&amp;L71&amp;M71&amp;N71&amp;O71&amp;P71,'[2]2.4 wsLookup'!$M$2:$M$96,'[2]2.4 wsLookup'!$P$2:$P$96,"Introuvable")</f>
        <v>0.05</v>
      </c>
      <c r="AH71" s="91">
        <f>_xlfn.XLOOKUP(E71&amp;F71&amp;G71&amp;H71&amp;I71&amp;J71&amp;K71&amp;L71&amp;M71&amp;N71&amp;O71&amp;P71,'[2]2.4 wsLookup'!$M$2:$M$96,'[2]2.4 wsLookup'!$R$2:$R$96,"Introuvable")</f>
        <v>5.3249999999999999E-2</v>
      </c>
      <c r="AI71" s="193">
        <f>_xlfn.XLOOKUP(E71&amp;F71&amp;G71&amp;H71&amp;I71&amp;J71&amp;K71&amp;L71&amp;M71&amp;N71&amp;O71&amp;P71,'[2]2.4 wsLookup'!$M$2:$M$96,'[2]2.4 wsLookup'!$S$2:$S$96,"Introuvable")</f>
        <v>11000</v>
      </c>
      <c r="AK71" t="str">
        <f t="shared" si="4"/>
        <v>en localité|non|3|non|oui|-|-|-|-|-|-|-</v>
      </c>
      <c r="AO71" t="s">
        <v>1762</v>
      </c>
    </row>
    <row r="72" spans="1:41" ht="39" customHeight="1">
      <c r="A72" s="1"/>
      <c r="B72" s="1"/>
      <c r="C72" s="188" t="s">
        <v>1763</v>
      </c>
      <c r="D72" s="224" t="s">
        <v>1678</v>
      </c>
      <c r="E72" s="225" t="s">
        <v>1679</v>
      </c>
      <c r="F72" s="225" t="s">
        <v>1673</v>
      </c>
      <c r="G72" s="225" t="s">
        <v>255</v>
      </c>
      <c r="H72" s="225" t="s">
        <v>1673</v>
      </c>
      <c r="I72" s="225" t="s">
        <v>1674</v>
      </c>
      <c r="J72" s="320" t="s">
        <v>256</v>
      </c>
      <c r="K72" s="224" t="s">
        <v>256</v>
      </c>
      <c r="L72" s="224" t="s">
        <v>256</v>
      </c>
      <c r="M72" s="224" t="s">
        <v>256</v>
      </c>
      <c r="N72" s="224" t="s">
        <v>256</v>
      </c>
      <c r="O72" s="320" t="s">
        <v>256</v>
      </c>
      <c r="P72" s="226" t="s">
        <v>256</v>
      </c>
      <c r="Q72" s="374">
        <v>6595</v>
      </c>
      <c r="R72" s="323" t="s">
        <v>1673</v>
      </c>
      <c r="S72" s="324" t="str">
        <f t="shared" si="0"/>
        <v>acceptable</v>
      </c>
      <c r="T72" s="325" t="str">
        <f t="shared" si="1"/>
        <v>fluide</v>
      </c>
      <c r="U72" s="228" t="s">
        <v>1673</v>
      </c>
      <c r="V72" s="228" t="s">
        <v>1673</v>
      </c>
      <c r="W72" s="228" t="s">
        <v>1673</v>
      </c>
      <c r="X72" s="229" t="s">
        <v>1673</v>
      </c>
      <c r="Y72" s="288" t="str">
        <f t="shared" si="2"/>
        <v>non</v>
      </c>
      <c r="Z72" s="328" t="str">
        <f t="shared" si="3"/>
        <v>moyen</v>
      </c>
      <c r="AA72" s="9"/>
      <c r="AB72" s="1"/>
      <c r="AC72" s="190">
        <f>_xlfn.XLOOKUP(E72&amp;F72&amp;G72&amp;H72&amp;I72&amp;J72&amp;K72&amp;L72&amp;M72&amp;N72&amp;O72&amp;P72,'[2]2.4 wsLookup'!$M$2:$M$96,'[2]2.4 wsLookup'!$N$2:$N$96,"Introuvable")</f>
        <v>2.3E-5</v>
      </c>
      <c r="AD72" s="190">
        <f>_xlfn.XLOOKUP(E72&amp;F72&amp;G72&amp;H72&amp;I72&amp;J72&amp;K72&amp;L72&amp;M72&amp;N72&amp;O72&amp;P72,'[2]2.4 wsLookup'!$M$2:$M$96,'[2]2.4 wsLookup'!$O$2:$O$96,"Introuvable")</f>
        <v>1.1200000000000001</v>
      </c>
      <c r="AE72" s="90">
        <f t="shared" si="5"/>
        <v>0.43576105316398456</v>
      </c>
      <c r="AF72" s="206">
        <f>_xlfn.XLOOKUP(E72&amp;F72&amp;G72&amp;H72&amp;I72&amp;J72&amp;K72&amp;L72&amp;M72&amp;N72&amp;O72&amp;P72,'[2]2.4 wsLookup'!$M$2:$M$96,'[2]2.4 wsLookup'!$Q$2:$Q$96,"Introuvable")</f>
        <v>1.2077407737518886</v>
      </c>
      <c r="AG72" s="91">
        <f>_xlfn.XLOOKUP(E72&amp;F72&amp;G72&amp;H72&amp;I72&amp;J72&amp;K72&amp;L72&amp;M72&amp;N72&amp;O72&amp;P72,'[2]2.4 wsLookup'!$M$2:$M$96,'[2]2.4 wsLookup'!$P$2:$P$96,"Introuvable")</f>
        <v>5.7000000000000002E-2</v>
      </c>
      <c r="AH72" s="91">
        <f>_xlfn.XLOOKUP(E72&amp;F72&amp;G72&amp;H72&amp;I72&amp;J72&amp;K72&amp;L72&amp;M72&amp;N72&amp;O72&amp;P72,'[2]2.4 wsLookup'!$M$2:$M$96,'[2]2.4 wsLookup'!$R$2:$R$96,"Introuvable")</f>
        <v>5.3249999999999999E-2</v>
      </c>
      <c r="AI72" s="193">
        <f>_xlfn.XLOOKUP(E72&amp;F72&amp;G72&amp;H72&amp;I72&amp;J72&amp;K72&amp;L72&amp;M72&amp;N72&amp;O72&amp;P72,'[2]2.4 wsLookup'!$M$2:$M$96,'[2]2.4 wsLookup'!$S$2:$S$96,"Introuvable")</f>
        <v>12500</v>
      </c>
      <c r="AK72" t="str">
        <f t="shared" si="4"/>
        <v>en localité|non|&gt;3|non|oui|-|-|-|-|-|-|-</v>
      </c>
      <c r="AO72" t="s">
        <v>1764</v>
      </c>
    </row>
    <row r="73" spans="1:41" ht="39" customHeight="1">
      <c r="A73" s="1"/>
      <c r="B73" s="1"/>
      <c r="C73" s="188" t="s">
        <v>1765</v>
      </c>
      <c r="D73" s="224" t="s">
        <v>1678</v>
      </c>
      <c r="E73" s="225" t="s">
        <v>1679</v>
      </c>
      <c r="F73" s="225" t="s">
        <v>1673</v>
      </c>
      <c r="G73" s="225" t="s">
        <v>257</v>
      </c>
      <c r="H73" s="225" t="s">
        <v>1673</v>
      </c>
      <c r="I73" s="225" t="s">
        <v>1673</v>
      </c>
      <c r="J73" s="320" t="s">
        <v>256</v>
      </c>
      <c r="K73" s="224" t="s">
        <v>256</v>
      </c>
      <c r="L73" s="224" t="s">
        <v>256</v>
      </c>
      <c r="M73" s="224" t="s">
        <v>256</v>
      </c>
      <c r="N73" s="224" t="s">
        <v>256</v>
      </c>
      <c r="O73" s="320" t="s">
        <v>256</v>
      </c>
      <c r="P73" s="226" t="s">
        <v>256</v>
      </c>
      <c r="Q73" s="374">
        <v>29527</v>
      </c>
      <c r="R73" s="323" t="s">
        <v>1673</v>
      </c>
      <c r="S73" s="324" t="str">
        <f t="shared" si="0"/>
        <v>sûr</v>
      </c>
      <c r="T73" s="325" t="str">
        <f t="shared" si="1"/>
        <v>instable</v>
      </c>
      <c r="U73" s="228" t="s">
        <v>1673</v>
      </c>
      <c r="V73" s="228" t="s">
        <v>1673</v>
      </c>
      <c r="W73" s="228" t="s">
        <v>1673</v>
      </c>
      <c r="X73" s="229" t="s">
        <v>1673</v>
      </c>
      <c r="Y73" s="288" t="str">
        <f t="shared" si="2"/>
        <v>non</v>
      </c>
      <c r="Z73" s="328" t="str">
        <f t="shared" si="3"/>
        <v>élevé</v>
      </c>
      <c r="AA73" s="9"/>
      <c r="AB73" s="1"/>
      <c r="AC73" s="190">
        <f>_xlfn.XLOOKUP(E73&amp;F73&amp;G73&amp;H73&amp;I73&amp;J73&amp;K73&amp;L73&amp;M73&amp;N73&amp;O73&amp;P73,'[2]2.4 wsLookup'!$M$2:$M$96,'[2]2.4 wsLookup'!$N$2:$N$96,"Introuvable")</f>
        <v>8.5699999999999993E-6</v>
      </c>
      <c r="AD73" s="190">
        <f>_xlfn.XLOOKUP(E73&amp;F73&amp;G73&amp;H73&amp;I73&amp;J73&amp;K73&amp;L73&amp;M73&amp;N73&amp;O73&amp;P73,'[2]2.4 wsLookup'!$M$2:$M$96,'[2]2.4 wsLookup'!$O$2:$O$96,"Introuvable")</f>
        <v>1.1200000000000001</v>
      </c>
      <c r="AE73" s="90">
        <f t="shared" si="5"/>
        <v>0.8702147993330841</v>
      </c>
      <c r="AF73" s="206">
        <f>_xlfn.XLOOKUP(E73&amp;F73&amp;G73&amp;H73&amp;I73&amp;J73&amp;K73&amp;L73&amp;M73&amp;N73&amp;O73&amp;P73,'[2]2.4 wsLookup'!$M$2:$M$96,'[2]2.4 wsLookup'!$Q$2:$Q$96,"Introuvable")</f>
        <v>1.2077407737518886</v>
      </c>
      <c r="AG73" s="91">
        <f>_xlfn.XLOOKUP(E73&amp;F73&amp;G73&amp;H73&amp;I73&amp;J73&amp;K73&amp;L73&amp;M73&amp;N73&amp;O73&amp;P73,'[2]2.4 wsLookup'!$M$2:$M$96,'[2]2.4 wsLookup'!$P$2:$P$96,"Introuvable")</f>
        <v>0.05</v>
      </c>
      <c r="AH73" s="91">
        <f>_xlfn.XLOOKUP(E73&amp;F73&amp;G73&amp;H73&amp;I73&amp;J73&amp;K73&amp;L73&amp;M73&amp;N73&amp;O73&amp;P73,'[2]2.4 wsLookup'!$M$2:$M$96,'[2]2.4 wsLookup'!$R$2:$R$96,"Introuvable")</f>
        <v>5.3249999999999999E-2</v>
      </c>
      <c r="AI73" s="193">
        <f>_xlfn.XLOOKUP(E73&amp;F73&amp;G73&amp;H73&amp;I73&amp;J73&amp;K73&amp;L73&amp;M73&amp;N73&amp;O73&amp;P73,'[2]2.4 wsLookup'!$M$2:$M$96,'[2]2.4 wsLookup'!$S$2:$S$96,"Introuvable")</f>
        <v>12000</v>
      </c>
      <c r="AK73" t="str">
        <f t="shared" si="4"/>
        <v>en localité|non|3|non|non|-|-|-|-|-|-|-</v>
      </c>
      <c r="AO73" t="s">
        <v>1688</v>
      </c>
    </row>
    <row r="74" spans="1:41" ht="39" customHeight="1">
      <c r="A74" s="1"/>
      <c r="B74" s="1"/>
      <c r="C74" s="188" t="s">
        <v>1766</v>
      </c>
      <c r="D74" s="224" t="s">
        <v>1678</v>
      </c>
      <c r="E74" s="225" t="s">
        <v>1679</v>
      </c>
      <c r="F74" s="225" t="s">
        <v>1673</v>
      </c>
      <c r="G74" s="225" t="s">
        <v>255</v>
      </c>
      <c r="H74" s="225" t="s">
        <v>1674</v>
      </c>
      <c r="I74" s="225" t="s">
        <v>1673</v>
      </c>
      <c r="J74" s="320" t="s">
        <v>256</v>
      </c>
      <c r="K74" s="224" t="s">
        <v>256</v>
      </c>
      <c r="L74" s="224" t="s">
        <v>256</v>
      </c>
      <c r="M74" s="224" t="s">
        <v>256</v>
      </c>
      <c r="N74" s="224" t="s">
        <v>256</v>
      </c>
      <c r="O74" s="320" t="s">
        <v>256</v>
      </c>
      <c r="P74" s="226" t="s">
        <v>256</v>
      </c>
      <c r="Q74" s="374">
        <v>7053</v>
      </c>
      <c r="R74" s="323" t="s">
        <v>1673</v>
      </c>
      <c r="S74" s="324" t="str">
        <f t="shared" si="0"/>
        <v>sûr</v>
      </c>
      <c r="T74" s="325" t="str">
        <f t="shared" si="1"/>
        <v>fluide</v>
      </c>
      <c r="U74" s="228" t="s">
        <v>1673</v>
      </c>
      <c r="V74" s="228" t="s">
        <v>1673</v>
      </c>
      <c r="W74" s="228" t="s">
        <v>1674</v>
      </c>
      <c r="X74" s="229" t="s">
        <v>1674</v>
      </c>
      <c r="Y74" s="288" t="str">
        <f t="shared" si="2"/>
        <v>oui</v>
      </c>
      <c r="Z74" s="328" t="str">
        <f t="shared" si="3"/>
        <v>élevé</v>
      </c>
      <c r="AA74" s="9"/>
      <c r="AB74" s="1"/>
      <c r="AC74" s="190">
        <f>_xlfn.XLOOKUP(E74&amp;F74&amp;G74&amp;H74&amp;I74&amp;J74&amp;K74&amp;L74&amp;M74&amp;N74&amp;O74&amp;P74,'[2]2.4 wsLookup'!$M$2:$M$96,'[2]2.4 wsLookup'!$N$2:$N$96,"Introuvable")</f>
        <v>1.09E-3</v>
      </c>
      <c r="AD74" s="190">
        <f>_xlfn.XLOOKUP(E74&amp;F74&amp;G74&amp;H74&amp;I74&amp;J74&amp;K74&amp;L74&amp;M74&amp;N74&amp;O74&amp;P74,'[2]2.4 wsLookup'!$M$2:$M$96,'[2]2.4 wsLookup'!$O$2:$O$96,"Introuvable")</f>
        <v>0.66</v>
      </c>
      <c r="AE74" s="90">
        <f t="shared" si="5"/>
        <v>0.37787943843201116</v>
      </c>
      <c r="AF74" s="206">
        <f>_xlfn.XLOOKUP(E74&amp;F74&amp;G74&amp;H74&amp;I74&amp;J74&amp;K74&amp;L74&amp;M74&amp;N74&amp;O74&amp;P74,'[2]2.4 wsLookup'!$M$2:$M$96,'[2]2.4 wsLookup'!$Q$2:$Q$96,"Introuvable")</f>
        <v>1.2077407737518886</v>
      </c>
      <c r="AG74" s="91">
        <f>_xlfn.XLOOKUP(E74&amp;F74&amp;G74&amp;H74&amp;I74&amp;J74&amp;K74&amp;L74&amp;M74&amp;N74&amp;O74&amp;P74,'[2]2.4 wsLookup'!$M$2:$M$96,'[2]2.4 wsLookup'!$P$2:$P$96,"Introuvable")</f>
        <v>3.7999999999999999E-2</v>
      </c>
      <c r="AH74" s="91">
        <f>_xlfn.XLOOKUP(E74&amp;F74&amp;G74&amp;H74&amp;I74&amp;J74&amp;K74&amp;L74&amp;M74&amp;N74&amp;O74&amp;P74,'[2]2.4 wsLookup'!$M$2:$M$96,'[2]2.4 wsLookup'!$R$2:$R$96,"Introuvable")</f>
        <v>5.3249999999999999E-2</v>
      </c>
      <c r="AI74" s="193">
        <f>_xlfn.XLOOKUP(E74&amp;F74&amp;G74&amp;H74&amp;I74&amp;J74&amp;K74&amp;L74&amp;M74&amp;N74&amp;O74&amp;P74,'[2]2.4 wsLookup'!$M$2:$M$96,'[2]2.4 wsLookup'!$S$2:$S$96,"Introuvable")</f>
        <v>40000</v>
      </c>
      <c r="AK74" t="str">
        <f t="shared" si="4"/>
        <v>en localité|non|&gt;3|oui|non|-|-|-|-|-|-|-</v>
      </c>
      <c r="AO74" t="s">
        <v>1767</v>
      </c>
    </row>
    <row r="75" spans="1:41" ht="39" customHeight="1">
      <c r="A75" s="1"/>
      <c r="B75" s="1"/>
      <c r="C75" s="188" t="s">
        <v>1768</v>
      </c>
      <c r="D75" s="224" t="s">
        <v>1678</v>
      </c>
      <c r="E75" s="225" t="s">
        <v>1679</v>
      </c>
      <c r="F75" s="225" t="s">
        <v>1673</v>
      </c>
      <c r="G75" s="225" t="s">
        <v>257</v>
      </c>
      <c r="H75" s="225" t="s">
        <v>1673</v>
      </c>
      <c r="I75" s="225" t="s">
        <v>1673</v>
      </c>
      <c r="J75" s="320" t="s">
        <v>256</v>
      </c>
      <c r="K75" s="224" t="s">
        <v>256</v>
      </c>
      <c r="L75" s="224" t="s">
        <v>256</v>
      </c>
      <c r="M75" s="224" t="s">
        <v>256</v>
      </c>
      <c r="N75" s="224" t="s">
        <v>256</v>
      </c>
      <c r="O75" s="320" t="s">
        <v>256</v>
      </c>
      <c r="P75" s="226" t="s">
        <v>256</v>
      </c>
      <c r="Q75" s="374">
        <v>8181</v>
      </c>
      <c r="R75" s="323" t="s">
        <v>1673</v>
      </c>
      <c r="S75" s="324" t="str">
        <f t="shared" si="0"/>
        <v>sûr</v>
      </c>
      <c r="T75" s="325" t="str">
        <f t="shared" si="1"/>
        <v>fluide</v>
      </c>
      <c r="U75" s="228" t="s">
        <v>1673</v>
      </c>
      <c r="V75" s="228" t="s">
        <v>1673</v>
      </c>
      <c r="W75" s="228" t="s">
        <v>1673</v>
      </c>
      <c r="X75" s="229" t="s">
        <v>1673</v>
      </c>
      <c r="Y75" s="288" t="str">
        <f t="shared" si="2"/>
        <v>non</v>
      </c>
      <c r="Z75" s="328" t="str">
        <f t="shared" si="3"/>
        <v>faible</v>
      </c>
      <c r="AA75" s="9"/>
      <c r="AB75" s="1"/>
      <c r="AC75" s="190">
        <f>_xlfn.XLOOKUP(E75&amp;F75&amp;G75&amp;H75&amp;I75&amp;J75&amp;K75&amp;L75&amp;M75&amp;N75&amp;O75&amp;P75,'[2]2.4 wsLookup'!$M$2:$M$96,'[2]2.4 wsLookup'!$N$2:$N$96,"Introuvable")</f>
        <v>8.5699999999999993E-6</v>
      </c>
      <c r="AD75" s="190">
        <f>_xlfn.XLOOKUP(E75&amp;F75&amp;G75&amp;H75&amp;I75&amp;J75&amp;K75&amp;L75&amp;M75&amp;N75&amp;O75&amp;P75,'[2]2.4 wsLookup'!$M$2:$M$96,'[2]2.4 wsLookup'!$O$2:$O$96,"Introuvable")</f>
        <v>1.1200000000000001</v>
      </c>
      <c r="AE75" s="90">
        <f t="shared" si="5"/>
        <v>0.20669214948365625</v>
      </c>
      <c r="AF75" s="206">
        <f>_xlfn.XLOOKUP(E75&amp;F75&amp;G75&amp;H75&amp;I75&amp;J75&amp;K75&amp;L75&amp;M75&amp;N75&amp;O75&amp;P75,'[2]2.4 wsLookup'!$M$2:$M$96,'[2]2.4 wsLookup'!$Q$2:$Q$96,"Introuvable")</f>
        <v>1.2077407737518886</v>
      </c>
      <c r="AG75" s="91">
        <f>_xlfn.XLOOKUP(E75&amp;F75&amp;G75&amp;H75&amp;I75&amp;J75&amp;K75&amp;L75&amp;M75&amp;N75&amp;O75&amp;P75,'[2]2.4 wsLookup'!$M$2:$M$96,'[2]2.4 wsLookup'!$P$2:$P$96,"Introuvable")</f>
        <v>0.05</v>
      </c>
      <c r="AH75" s="91">
        <f>_xlfn.XLOOKUP(E75&amp;F75&amp;G75&amp;H75&amp;I75&amp;J75&amp;K75&amp;L75&amp;M75&amp;N75&amp;O75&amp;P75,'[2]2.4 wsLookup'!$M$2:$M$96,'[2]2.4 wsLookup'!$R$2:$R$96,"Introuvable")</f>
        <v>5.3249999999999999E-2</v>
      </c>
      <c r="AI75" s="193">
        <f>_xlfn.XLOOKUP(E75&amp;F75&amp;G75&amp;H75&amp;I75&amp;J75&amp;K75&amp;L75&amp;M75&amp;N75&amp;O75&amp;P75,'[2]2.4 wsLookup'!$M$2:$M$96,'[2]2.4 wsLookup'!$S$2:$S$96,"Introuvable")</f>
        <v>12000</v>
      </c>
      <c r="AK75" t="str">
        <f t="shared" si="4"/>
        <v>en localité|non|3|non|non|-|-|-|-|-|-|-</v>
      </c>
      <c r="AO75" t="s">
        <v>1696</v>
      </c>
    </row>
    <row r="76" spans="1:41" ht="39" customHeight="1">
      <c r="A76" s="1"/>
      <c r="B76" s="1"/>
      <c r="C76" s="188" t="s">
        <v>1769</v>
      </c>
      <c r="D76" s="224" t="s">
        <v>1678</v>
      </c>
      <c r="E76" s="225" t="s">
        <v>1679</v>
      </c>
      <c r="F76" s="225" t="s">
        <v>1673</v>
      </c>
      <c r="G76" s="225" t="s">
        <v>257</v>
      </c>
      <c r="H76" s="225" t="s">
        <v>1673</v>
      </c>
      <c r="I76" s="225" t="s">
        <v>1673</v>
      </c>
      <c r="J76" s="320" t="s">
        <v>256</v>
      </c>
      <c r="K76" s="224" t="s">
        <v>256</v>
      </c>
      <c r="L76" s="224" t="s">
        <v>256</v>
      </c>
      <c r="M76" s="224" t="s">
        <v>256</v>
      </c>
      <c r="N76" s="224" t="s">
        <v>256</v>
      </c>
      <c r="O76" s="320" t="s">
        <v>256</v>
      </c>
      <c r="P76" s="226" t="s">
        <v>256</v>
      </c>
      <c r="Q76" s="374">
        <v>12048</v>
      </c>
      <c r="R76" s="323" t="s">
        <v>1673</v>
      </c>
      <c r="S76" s="324" t="str">
        <f t="shared" si="0"/>
        <v>sûr</v>
      </c>
      <c r="T76" s="325" t="str">
        <f t="shared" si="1"/>
        <v>acceptable</v>
      </c>
      <c r="U76" s="228" t="s">
        <v>1673</v>
      </c>
      <c r="V76" s="228" t="s">
        <v>1673</v>
      </c>
      <c r="W76" s="228" t="s">
        <v>1673</v>
      </c>
      <c r="X76" s="229" t="s">
        <v>1673</v>
      </c>
      <c r="Y76" s="288" t="str">
        <f t="shared" si="2"/>
        <v>non</v>
      </c>
      <c r="Z76" s="328" t="str">
        <f t="shared" si="3"/>
        <v>moyen</v>
      </c>
      <c r="AA76" s="9"/>
      <c r="AB76" s="1"/>
      <c r="AC76" s="190">
        <f>_xlfn.XLOOKUP(E76&amp;F76&amp;G76&amp;H76&amp;I76&amp;J76&amp;K76&amp;L76&amp;M76&amp;N76&amp;O76&amp;P76,'[2]2.4 wsLookup'!$M$2:$M$96,'[2]2.4 wsLookup'!$N$2:$N$96,"Introuvable")</f>
        <v>8.5699999999999993E-6</v>
      </c>
      <c r="AD76" s="190">
        <f>_xlfn.XLOOKUP(E76&amp;F76&amp;G76&amp;H76&amp;I76&amp;J76&amp;K76&amp;L76&amp;M76&amp;N76&amp;O76&amp;P76,'[2]2.4 wsLookup'!$M$2:$M$96,'[2]2.4 wsLookup'!$O$2:$O$96,"Introuvable")</f>
        <v>1.1200000000000001</v>
      </c>
      <c r="AE76" s="90">
        <f t="shared" si="5"/>
        <v>0.31886406316090371</v>
      </c>
      <c r="AF76" s="206">
        <f>_xlfn.XLOOKUP(E76&amp;F76&amp;G76&amp;H76&amp;I76&amp;J76&amp;K76&amp;L76&amp;M76&amp;N76&amp;O76&amp;P76,'[2]2.4 wsLookup'!$M$2:$M$96,'[2]2.4 wsLookup'!$Q$2:$Q$96,"Introuvable")</f>
        <v>1.2077407737518886</v>
      </c>
      <c r="AG76" s="91">
        <f>_xlfn.XLOOKUP(E76&amp;F76&amp;G76&amp;H76&amp;I76&amp;J76&amp;K76&amp;L76&amp;M76&amp;N76&amp;O76&amp;P76,'[2]2.4 wsLookup'!$M$2:$M$96,'[2]2.4 wsLookup'!$P$2:$P$96,"Introuvable")</f>
        <v>0.05</v>
      </c>
      <c r="AH76" s="91">
        <f>_xlfn.XLOOKUP(E76&amp;F76&amp;G76&amp;H76&amp;I76&amp;J76&amp;K76&amp;L76&amp;M76&amp;N76&amp;O76&amp;P76,'[2]2.4 wsLookup'!$M$2:$M$96,'[2]2.4 wsLookup'!$R$2:$R$96,"Introuvable")</f>
        <v>5.3249999999999999E-2</v>
      </c>
      <c r="AI76" s="193">
        <f>_xlfn.XLOOKUP(E76&amp;F76&amp;G76&amp;H76&amp;I76&amp;J76&amp;K76&amp;L76&amp;M76&amp;N76&amp;O76&amp;P76,'[2]2.4 wsLookup'!$M$2:$M$96,'[2]2.4 wsLookup'!$S$2:$S$96,"Introuvable")</f>
        <v>12000</v>
      </c>
      <c r="AK76" t="str">
        <f t="shared" si="4"/>
        <v>en localité|non|3|non|non|-|-|-|-|-|-|-</v>
      </c>
      <c r="AO76" t="s">
        <v>1682</v>
      </c>
    </row>
    <row r="77" spans="1:41" ht="39" customHeight="1">
      <c r="A77" s="1"/>
      <c r="B77" s="1"/>
      <c r="C77" s="188" t="s">
        <v>1770</v>
      </c>
      <c r="D77" s="224" t="s">
        <v>1678</v>
      </c>
      <c r="E77" s="225" t="s">
        <v>1679</v>
      </c>
      <c r="F77" s="225" t="s">
        <v>1673</v>
      </c>
      <c r="G77" s="225" t="s">
        <v>255</v>
      </c>
      <c r="H77" s="225" t="s">
        <v>1673</v>
      </c>
      <c r="I77" s="225" t="s">
        <v>1673</v>
      </c>
      <c r="J77" s="320" t="s">
        <v>256</v>
      </c>
      <c r="K77" s="224" t="s">
        <v>256</v>
      </c>
      <c r="L77" s="224" t="s">
        <v>256</v>
      </c>
      <c r="M77" s="224" t="s">
        <v>256</v>
      </c>
      <c r="N77" s="224" t="s">
        <v>256</v>
      </c>
      <c r="O77" s="320" t="s">
        <v>256</v>
      </c>
      <c r="P77" s="226" t="s">
        <v>256</v>
      </c>
      <c r="Q77" s="374">
        <v>7687</v>
      </c>
      <c r="R77" s="323" t="s">
        <v>1673</v>
      </c>
      <c r="S77" s="324" t="str">
        <f t="shared" si="0"/>
        <v>acceptable</v>
      </c>
      <c r="T77" s="325" t="str">
        <f t="shared" si="1"/>
        <v>fluide</v>
      </c>
      <c r="U77" s="228" t="s">
        <v>1673</v>
      </c>
      <c r="V77" s="228" t="s">
        <v>1673</v>
      </c>
      <c r="W77" s="228" t="s">
        <v>1673</v>
      </c>
      <c r="X77" s="229" t="s">
        <v>1673</v>
      </c>
      <c r="Y77" s="288" t="str">
        <f t="shared" si="2"/>
        <v>non</v>
      </c>
      <c r="Z77" s="328" t="str">
        <f t="shared" si="3"/>
        <v>moyen</v>
      </c>
      <c r="AA77" s="9"/>
      <c r="AB77" s="1"/>
      <c r="AC77" s="190">
        <f>_xlfn.XLOOKUP(E77&amp;F77&amp;G77&amp;H77&amp;I77&amp;J77&amp;K77&amp;L77&amp;M77&amp;N77&amp;O77&amp;P77,'[2]2.4 wsLookup'!$M$2:$M$96,'[2]2.4 wsLookup'!$N$2:$N$96,"Introuvable")</f>
        <v>1.27E-5</v>
      </c>
      <c r="AD77" s="190">
        <f>_xlfn.XLOOKUP(E77&amp;F77&amp;G77&amp;H77&amp;I77&amp;J77&amp;K77&amp;L77&amp;M77&amp;N77&amp;O77&amp;P77,'[2]2.4 wsLookup'!$M$2:$M$96,'[2]2.4 wsLookup'!$O$2:$O$96,"Introuvable")</f>
        <v>1.1200000000000001</v>
      </c>
      <c r="AE77" s="90">
        <f t="shared" si="5"/>
        <v>0.28566131281609319</v>
      </c>
      <c r="AF77" s="206">
        <f>_xlfn.XLOOKUP(E77&amp;F77&amp;G77&amp;H77&amp;I77&amp;J77&amp;K77&amp;L77&amp;M77&amp;N77&amp;O77&amp;P77,'[2]2.4 wsLookup'!$M$2:$M$96,'[2]2.4 wsLookup'!$Q$2:$Q$96,"Introuvable")</f>
        <v>1.2077407737518886</v>
      </c>
      <c r="AG77" s="91">
        <f>_xlfn.XLOOKUP(E77&amp;F77&amp;G77&amp;H77&amp;I77&amp;J77&amp;K77&amp;L77&amp;M77&amp;N77&amp;O77&amp;P77,'[2]2.4 wsLookup'!$M$2:$M$96,'[2]2.4 wsLookup'!$P$2:$P$96,"Introuvable")</f>
        <v>5.7000000000000002E-2</v>
      </c>
      <c r="AH77" s="91">
        <f>_xlfn.XLOOKUP(E77&amp;F77&amp;G77&amp;H77&amp;I77&amp;J77&amp;K77&amp;L77&amp;M77&amp;N77&amp;O77&amp;P77,'[2]2.4 wsLookup'!$M$2:$M$96,'[2]2.4 wsLookup'!$R$2:$R$96,"Introuvable")</f>
        <v>5.3249999999999999E-2</v>
      </c>
      <c r="AI77" s="193">
        <f>_xlfn.XLOOKUP(E77&amp;F77&amp;G77&amp;H77&amp;I77&amp;J77&amp;K77&amp;L77&amp;M77&amp;N77&amp;O77&amp;P77,'[2]2.4 wsLookup'!$M$2:$M$96,'[2]2.4 wsLookup'!$S$2:$S$96,"Introuvable")</f>
        <v>14000</v>
      </c>
      <c r="AK77" t="str">
        <f t="shared" si="4"/>
        <v>en localité|non|&gt;3|non|non|-|-|-|-|-|-|-</v>
      </c>
      <c r="AO77" t="s">
        <v>1739</v>
      </c>
    </row>
    <row r="78" spans="1:41" ht="39" customHeight="1">
      <c r="A78" s="1"/>
      <c r="B78" s="1"/>
      <c r="C78" s="188" t="s">
        <v>1771</v>
      </c>
      <c r="D78" s="224" t="s">
        <v>1678</v>
      </c>
      <c r="E78" s="225" t="s">
        <v>1679</v>
      </c>
      <c r="F78" s="225" t="s">
        <v>1673</v>
      </c>
      <c r="G78" s="225" t="s">
        <v>257</v>
      </c>
      <c r="H78" s="225" t="s">
        <v>1673</v>
      </c>
      <c r="I78" s="225" t="s">
        <v>1673</v>
      </c>
      <c r="J78" s="320" t="s">
        <v>256</v>
      </c>
      <c r="K78" s="224" t="s">
        <v>256</v>
      </c>
      <c r="L78" s="224" t="s">
        <v>256</v>
      </c>
      <c r="M78" s="224" t="s">
        <v>256</v>
      </c>
      <c r="N78" s="224" t="s">
        <v>256</v>
      </c>
      <c r="O78" s="320" t="s">
        <v>256</v>
      </c>
      <c r="P78" s="226" t="s">
        <v>256</v>
      </c>
      <c r="Q78" s="374">
        <v>7052</v>
      </c>
      <c r="R78" s="323" t="s">
        <v>1673</v>
      </c>
      <c r="S78" s="324" t="str">
        <f t="shared" si="0"/>
        <v>sûr</v>
      </c>
      <c r="T78" s="325" t="str">
        <f t="shared" si="1"/>
        <v>fluide</v>
      </c>
      <c r="U78" s="228" t="s">
        <v>1673</v>
      </c>
      <c r="V78" s="228" t="s">
        <v>1673</v>
      </c>
      <c r="W78" s="228" t="s">
        <v>1673</v>
      </c>
      <c r="X78" s="229" t="s">
        <v>1673</v>
      </c>
      <c r="Y78" s="288" t="str">
        <f t="shared" si="2"/>
        <v>non</v>
      </c>
      <c r="Z78" s="328" t="str">
        <f t="shared" si="3"/>
        <v>faible</v>
      </c>
      <c r="AA78" s="9"/>
      <c r="AB78" s="1"/>
      <c r="AC78" s="190">
        <f>_xlfn.XLOOKUP(E78&amp;F78&amp;G78&amp;H78&amp;I78&amp;J78&amp;K78&amp;L78&amp;M78&amp;N78&amp;O78&amp;P78,'[2]2.4 wsLookup'!$M$2:$M$96,'[2]2.4 wsLookup'!$N$2:$N$96,"Introuvable")</f>
        <v>8.5699999999999993E-6</v>
      </c>
      <c r="AD78" s="190">
        <f>_xlfn.XLOOKUP(E78&amp;F78&amp;G78&amp;H78&amp;I78&amp;J78&amp;K78&amp;L78&amp;M78&amp;N78&amp;O78&amp;P78,'[2]2.4 wsLookup'!$M$2:$M$96,'[2]2.4 wsLookup'!$O$2:$O$96,"Introuvable")</f>
        <v>1.1200000000000001</v>
      </c>
      <c r="AE78" s="90">
        <f t="shared" si="5"/>
        <v>0.17502117775900594</v>
      </c>
      <c r="AF78" s="206">
        <f>_xlfn.XLOOKUP(E78&amp;F78&amp;G78&amp;H78&amp;I78&amp;J78&amp;K78&amp;L78&amp;M78&amp;N78&amp;O78&amp;P78,'[2]2.4 wsLookup'!$M$2:$M$96,'[2]2.4 wsLookup'!$Q$2:$Q$96,"Introuvable")</f>
        <v>1.2077407737518886</v>
      </c>
      <c r="AG78" s="91">
        <f>_xlfn.XLOOKUP(E78&amp;F78&amp;G78&amp;H78&amp;I78&amp;J78&amp;K78&amp;L78&amp;M78&amp;N78&amp;O78&amp;P78,'[2]2.4 wsLookup'!$M$2:$M$96,'[2]2.4 wsLookup'!$P$2:$P$96,"Introuvable")</f>
        <v>0.05</v>
      </c>
      <c r="AH78" s="91">
        <f>_xlfn.XLOOKUP(E78&amp;F78&amp;G78&amp;H78&amp;I78&amp;J78&amp;K78&amp;L78&amp;M78&amp;N78&amp;O78&amp;P78,'[2]2.4 wsLookup'!$M$2:$M$96,'[2]2.4 wsLookup'!$R$2:$R$96,"Introuvable")</f>
        <v>5.3249999999999999E-2</v>
      </c>
      <c r="AI78" s="193">
        <f>_xlfn.XLOOKUP(E78&amp;F78&amp;G78&amp;H78&amp;I78&amp;J78&amp;K78&amp;L78&amp;M78&amp;N78&amp;O78&amp;P78,'[2]2.4 wsLookup'!$M$2:$M$96,'[2]2.4 wsLookup'!$S$2:$S$96,"Introuvable")</f>
        <v>12000</v>
      </c>
      <c r="AK78" t="str">
        <f t="shared" si="4"/>
        <v>en localité|non|3|non|non|-|-|-|-|-|-|-</v>
      </c>
      <c r="AO78" t="s">
        <v>1696</v>
      </c>
    </row>
    <row r="79" spans="1:41" ht="39" customHeight="1">
      <c r="A79" s="1"/>
      <c r="B79" s="1"/>
      <c r="C79" s="188" t="s">
        <v>1772</v>
      </c>
      <c r="D79" s="224" t="s">
        <v>1678</v>
      </c>
      <c r="E79" s="225" t="s">
        <v>1679</v>
      </c>
      <c r="F79" s="225" t="s">
        <v>1673</v>
      </c>
      <c r="G79" s="225" t="s">
        <v>255</v>
      </c>
      <c r="H79" s="225" t="s">
        <v>1673</v>
      </c>
      <c r="I79" s="225" t="s">
        <v>1673</v>
      </c>
      <c r="J79" s="320" t="s">
        <v>256</v>
      </c>
      <c r="K79" s="224" t="s">
        <v>256</v>
      </c>
      <c r="L79" s="224" t="s">
        <v>256</v>
      </c>
      <c r="M79" s="224" t="s">
        <v>256</v>
      </c>
      <c r="N79" s="224" t="s">
        <v>256</v>
      </c>
      <c r="O79" s="320" t="s">
        <v>256</v>
      </c>
      <c r="P79" s="226" t="s">
        <v>256</v>
      </c>
      <c r="Q79" s="374">
        <v>14384</v>
      </c>
      <c r="R79" s="323" t="s">
        <v>1673</v>
      </c>
      <c r="S79" s="324" t="str">
        <f t="shared" si="0"/>
        <v>acceptable</v>
      </c>
      <c r="T79" s="325" t="str">
        <f t="shared" si="1"/>
        <v>acceptable</v>
      </c>
      <c r="U79" s="228" t="s">
        <v>1673</v>
      </c>
      <c r="V79" s="228" t="s">
        <v>1673</v>
      </c>
      <c r="W79" s="228" t="s">
        <v>1673</v>
      </c>
      <c r="X79" s="229" t="s">
        <v>1673</v>
      </c>
      <c r="Y79" s="288" t="str">
        <f t="shared" si="2"/>
        <v>non</v>
      </c>
      <c r="Z79" s="328" t="str">
        <f t="shared" si="3"/>
        <v>moyen</v>
      </c>
      <c r="AA79" s="9"/>
      <c r="AB79" s="1"/>
      <c r="AC79" s="190">
        <f>_xlfn.XLOOKUP(E79&amp;F79&amp;G79&amp;H79&amp;I79&amp;J79&amp;K79&amp;L79&amp;M79&amp;N79&amp;O79&amp;P79,'[2]2.4 wsLookup'!$M$2:$M$96,'[2]2.4 wsLookup'!$N$2:$N$96,"Introuvable")</f>
        <v>1.27E-5</v>
      </c>
      <c r="AD79" s="190">
        <f>_xlfn.XLOOKUP(E79&amp;F79&amp;G79&amp;H79&amp;I79&amp;J79&amp;K79&amp;L79&amp;M79&amp;N79&amp;O79&amp;P79,'[2]2.4 wsLookup'!$M$2:$M$96,'[2]2.4 wsLookup'!$O$2:$O$96,"Introuvable")</f>
        <v>1.1200000000000001</v>
      </c>
      <c r="AE79" s="90">
        <f t="shared" si="5"/>
        <v>0.57627390777633047</v>
      </c>
      <c r="AF79" s="206">
        <f>_xlfn.XLOOKUP(E79&amp;F79&amp;G79&amp;H79&amp;I79&amp;J79&amp;K79&amp;L79&amp;M79&amp;N79&amp;O79&amp;P79,'[2]2.4 wsLookup'!$M$2:$M$96,'[2]2.4 wsLookup'!$Q$2:$Q$96,"Introuvable")</f>
        <v>1.2077407737518886</v>
      </c>
      <c r="AG79" s="91">
        <f>_xlfn.XLOOKUP(E79&amp;F79&amp;G79&amp;H79&amp;I79&amp;J79&amp;K79&amp;L79&amp;M79&amp;N79&amp;O79&amp;P79,'[2]2.4 wsLookup'!$M$2:$M$96,'[2]2.4 wsLookup'!$P$2:$P$96,"Introuvable")</f>
        <v>5.7000000000000002E-2</v>
      </c>
      <c r="AH79" s="91">
        <f>_xlfn.XLOOKUP(E79&amp;F79&amp;G79&amp;H79&amp;I79&amp;J79&amp;K79&amp;L79&amp;M79&amp;N79&amp;O79&amp;P79,'[2]2.4 wsLookup'!$M$2:$M$96,'[2]2.4 wsLookup'!$R$2:$R$96,"Introuvable")</f>
        <v>5.3249999999999999E-2</v>
      </c>
      <c r="AI79" s="193">
        <f>_xlfn.XLOOKUP(E79&amp;F79&amp;G79&amp;H79&amp;I79&amp;J79&amp;K79&amp;L79&amp;M79&amp;N79&amp;O79&amp;P79,'[2]2.4 wsLookup'!$M$2:$M$96,'[2]2.4 wsLookup'!$S$2:$S$96,"Introuvable")</f>
        <v>14000</v>
      </c>
      <c r="AK79" t="str">
        <f t="shared" si="4"/>
        <v>en localité|non|&gt;3|non|non|-|-|-|-|-|-|-</v>
      </c>
      <c r="AO79" t="s">
        <v>1719</v>
      </c>
    </row>
    <row r="80" spans="1:41" ht="39" customHeight="1">
      <c r="A80" s="1"/>
      <c r="B80" s="1"/>
      <c r="C80" s="188" t="s">
        <v>1773</v>
      </c>
      <c r="D80" s="224" t="s">
        <v>1678</v>
      </c>
      <c r="E80" s="225" t="s">
        <v>1679</v>
      </c>
      <c r="F80" s="225" t="s">
        <v>1673</v>
      </c>
      <c r="G80" s="225" t="s">
        <v>255</v>
      </c>
      <c r="H80" s="225" t="s">
        <v>1674</v>
      </c>
      <c r="I80" s="225" t="s">
        <v>1673</v>
      </c>
      <c r="J80" s="320" t="s">
        <v>256</v>
      </c>
      <c r="K80" s="224" t="s">
        <v>256</v>
      </c>
      <c r="L80" s="224" t="s">
        <v>256</v>
      </c>
      <c r="M80" s="224" t="s">
        <v>256</v>
      </c>
      <c r="N80" s="224" t="s">
        <v>256</v>
      </c>
      <c r="O80" s="320" t="s">
        <v>256</v>
      </c>
      <c r="P80" s="226" t="s">
        <v>256</v>
      </c>
      <c r="Q80" s="374">
        <v>8182</v>
      </c>
      <c r="R80" s="323" t="s">
        <v>1673</v>
      </c>
      <c r="S80" s="324" t="str">
        <f t="shared" si="0"/>
        <v>sûr</v>
      </c>
      <c r="T80" s="325" t="str">
        <f t="shared" si="1"/>
        <v>fluide</v>
      </c>
      <c r="U80" s="228" t="s">
        <v>1673</v>
      </c>
      <c r="V80" s="228" t="s">
        <v>1673</v>
      </c>
      <c r="W80" s="228" t="s">
        <v>1673</v>
      </c>
      <c r="X80" s="229" t="s">
        <v>1673</v>
      </c>
      <c r="Y80" s="288" t="str">
        <f t="shared" si="2"/>
        <v>non</v>
      </c>
      <c r="Z80" s="328" t="str">
        <f t="shared" si="3"/>
        <v>faible</v>
      </c>
      <c r="AA80" s="9"/>
      <c r="AB80" s="1"/>
      <c r="AC80" s="190">
        <f>_xlfn.XLOOKUP(E80&amp;F80&amp;G80&amp;H80&amp;I80&amp;J80&amp;K80&amp;L80&amp;M80&amp;N80&amp;O80&amp;P80,'[2]2.4 wsLookup'!$M$2:$M$96,'[2]2.4 wsLookup'!$N$2:$N$96,"Introuvable")</f>
        <v>1.09E-3</v>
      </c>
      <c r="AD80" s="190">
        <f>_xlfn.XLOOKUP(E80&amp;F80&amp;G80&amp;H80&amp;I80&amp;J80&amp;K80&amp;L80&amp;M80&amp;N80&amp;O80&amp;P80,'[2]2.4 wsLookup'!$M$2:$M$96,'[2]2.4 wsLookup'!$O$2:$O$96,"Introuvable")</f>
        <v>0.66</v>
      </c>
      <c r="AE80" s="90">
        <f t="shared" si="5"/>
        <v>0.41678660376515336</v>
      </c>
      <c r="AF80" s="206">
        <f>_xlfn.XLOOKUP(E80&amp;F80&amp;G80&amp;H80&amp;I80&amp;J80&amp;K80&amp;L80&amp;M80&amp;N80&amp;O80&amp;P80,'[2]2.4 wsLookup'!$M$2:$M$96,'[2]2.4 wsLookup'!$Q$2:$Q$96,"Introuvable")</f>
        <v>1.2077407737518886</v>
      </c>
      <c r="AG80" s="91">
        <f>_xlfn.XLOOKUP(E80&amp;F80&amp;G80&amp;H80&amp;I80&amp;J80&amp;K80&amp;L80&amp;M80&amp;N80&amp;O80&amp;P80,'[2]2.4 wsLookup'!$M$2:$M$96,'[2]2.4 wsLookup'!$P$2:$P$96,"Introuvable")</f>
        <v>3.7999999999999999E-2</v>
      </c>
      <c r="AH80" s="91">
        <f>_xlfn.XLOOKUP(E80&amp;F80&amp;G80&amp;H80&amp;I80&amp;J80&amp;K80&amp;L80&amp;M80&amp;N80&amp;O80&amp;P80,'[2]2.4 wsLookup'!$M$2:$M$96,'[2]2.4 wsLookup'!$R$2:$R$96,"Introuvable")</f>
        <v>5.3249999999999999E-2</v>
      </c>
      <c r="AI80" s="193">
        <f>_xlfn.XLOOKUP(E80&amp;F80&amp;G80&amp;H80&amp;I80&amp;J80&amp;K80&amp;L80&amp;M80&amp;N80&amp;O80&amp;P80,'[2]2.4 wsLookup'!$M$2:$M$96,'[2]2.4 wsLookup'!$S$2:$S$96,"Introuvable")</f>
        <v>40000</v>
      </c>
      <c r="AK80" t="str">
        <f t="shared" si="4"/>
        <v>en localité|non|&gt;3|oui|non|-|-|-|-|-|-|-</v>
      </c>
      <c r="AO80" t="s">
        <v>1774</v>
      </c>
    </row>
    <row r="81" spans="1:41" ht="39" customHeight="1">
      <c r="A81" s="1"/>
      <c r="B81" s="1"/>
      <c r="C81" s="188" t="s">
        <v>1775</v>
      </c>
      <c r="D81" s="224" t="s">
        <v>1678</v>
      </c>
      <c r="E81" s="225" t="s">
        <v>1679</v>
      </c>
      <c r="F81" s="225" t="s">
        <v>256</v>
      </c>
      <c r="G81" s="225" t="s">
        <v>256</v>
      </c>
      <c r="H81" s="225" t="s">
        <v>256</v>
      </c>
      <c r="I81" s="225" t="s">
        <v>256</v>
      </c>
      <c r="J81" s="320" t="s">
        <v>1776</v>
      </c>
      <c r="K81" s="224" t="s">
        <v>1777</v>
      </c>
      <c r="L81" s="224" t="s">
        <v>1674</v>
      </c>
      <c r="M81" s="224" t="s">
        <v>1674</v>
      </c>
      <c r="N81" s="224" t="s">
        <v>1674</v>
      </c>
      <c r="O81" s="320" t="s">
        <v>1778</v>
      </c>
      <c r="P81" s="226" t="s">
        <v>256</v>
      </c>
      <c r="Q81" s="374">
        <v>4849</v>
      </c>
      <c r="R81" s="323" t="s">
        <v>1673</v>
      </c>
      <c r="S81" s="324" t="str">
        <f t="shared" ref="S81:S144" si="6">IFERROR(IF(AND(AE81&gt;AF81,AG81&gt;AH81),"critique",
 IF(AND(AE81&lt;=AF81,AG81&gt;AH81),"acceptable",
 IF(AND(AE81&gt;AF81,AG81&lt;=AH81),"acceptable",
 IF(AND(AE81&lt;=AF81,AG81&lt;=AH81),"sûr",
 "vérifier la saisie")))),"")</f>
        <v>acceptable</v>
      </c>
      <c r="T81" s="325" t="str">
        <f t="shared" ref="T81:T144" si="7">IFERROR(IF((Q81&gt;1.25*AI81),"instable",
IF(AND(Q81&lt;=1.25*AI81,Q81&gt;0.75*AI81),"acceptable",
IF((Q81&lt;=AI81),"fluide",
"vérifier la saisie"))),"")</f>
        <v>acceptable</v>
      </c>
      <c r="U81" s="228" t="s">
        <v>1673</v>
      </c>
      <c r="V81" s="228" t="s">
        <v>1673</v>
      </c>
      <c r="W81" s="228" t="s">
        <v>1673</v>
      </c>
      <c r="X81" s="229" t="s">
        <v>1673</v>
      </c>
      <c r="Y81" s="288" t="str">
        <f t="shared" ref="Y81:Y144" si="8">IF(OR(U81="oui", V81="oui", W81="oui", X81="oui"), "oui", "non")</f>
        <v>non</v>
      </c>
      <c r="Z81" s="328" t="str">
        <f t="shared" ref="Z81:Z144" si="9">IF(OR(S81="critique",T81="instable",Y81="oui"),"élevé",
IF(OR(AND(Y81="non",S81="acceptable",T81="acceptable"),
          AND(Y81="non",S81="acceptable",T81="fluide"),
          AND(Y81="non",S81="sûr",T81="acceptable")),"moyen",
IF(AND(Y81="non",S81="sûr",T81="fluide"),"faible","")))</f>
        <v>moyen</v>
      </c>
      <c r="AA81" s="9"/>
      <c r="AB81" s="1"/>
      <c r="AC81" s="190">
        <f>_xlfn.XLOOKUP(E81&amp;F81&amp;G81&amp;H81&amp;I81&amp;J81&amp;K81&amp;L81&amp;M81&amp;N81&amp;O81&amp;P81,'[2]2.4 wsLookup'!$M$2:$M$96,'[2]2.4 wsLookup'!$N$2:$N$96,"Introuvable")</f>
        <v>1.32E-3</v>
      </c>
      <c r="AD81" s="190">
        <f>_xlfn.XLOOKUP(E81&amp;F81&amp;G81&amp;H81&amp;I81&amp;J81&amp;K81&amp;L81&amp;M81&amp;N81&amp;O81&amp;P81,'[2]2.4 wsLookup'!$M$2:$M$96,'[2]2.4 wsLookup'!$O$2:$O$96,"Introuvable")</f>
        <v>0.85</v>
      </c>
      <c r="AE81" s="90">
        <f t="shared" si="5"/>
        <v>1.7921662221652259</v>
      </c>
      <c r="AF81" s="206">
        <f>_xlfn.XLOOKUP(E81&amp;F81&amp;G81&amp;H81&amp;I81&amp;J81&amp;K81&amp;L81&amp;M81&amp;N81&amp;O81&amp;P81,'[2]2.4 wsLookup'!$M$2:$M$96,'[2]2.4 wsLookup'!$Q$2:$Q$96,"Introuvable")</f>
        <v>1.6401708719887149</v>
      </c>
      <c r="AG81" s="91">
        <f>_xlfn.XLOOKUP(E81&amp;F81&amp;G81&amp;H81&amp;I81&amp;J81&amp;K81&amp;L81&amp;M81&amp;N81&amp;O81&amp;P81,'[2]2.4 wsLookup'!$M$2:$M$96,'[2]2.4 wsLookup'!$P$2:$P$96,"Introuvable")</f>
        <v>6.3E-2</v>
      </c>
      <c r="AH81" s="91">
        <f>_xlfn.XLOOKUP(E81&amp;F81&amp;G81&amp;H81&amp;I81&amp;J81&amp;K81&amp;L81&amp;M81&amp;N81&amp;O81&amp;P81,'[2]2.4 wsLookup'!$M$2:$M$96,'[2]2.4 wsLookup'!$R$2:$R$96,"Introuvable")</f>
        <v>6.6000000000000003E-2</v>
      </c>
      <c r="AI81" s="193">
        <f>_xlfn.XLOOKUP(E81&amp;F81&amp;G81&amp;H81&amp;I81&amp;J81&amp;K81&amp;L81&amp;M81&amp;N81&amp;O81&amp;P81,'[2]2.4 wsLookup'!$M$2:$M$96,'[2]2.4 wsLookup'!$S$2:$S$96,"Introuvable")</f>
        <v>6000</v>
      </c>
      <c r="AK81" t="str">
        <f t="shared" ref="AK81:AK144" si="10">E81 &amp; "|" &amp; F81 &amp; "|" &amp; G81 &amp; "|" &amp; H81 &amp; "|" &amp; I81 &amp; "|" &amp; J81 &amp; "|" &amp; K81 &amp; "|" &amp; L81 &amp; "|" &amp; M81 &amp; "|" &amp; N81 &amp; "|" &amp; O81 &amp; "|" &amp; P81</f>
        <v>en localité|-|-|-|-|Route Principale|Circulation mixte|oui|oui|oui|Sans|-</v>
      </c>
      <c r="AO81" t="s">
        <v>1779</v>
      </c>
    </row>
    <row r="82" spans="1:41" ht="39" customHeight="1">
      <c r="A82" s="1"/>
      <c r="B82" s="1"/>
      <c r="C82" s="188" t="s">
        <v>1780</v>
      </c>
      <c r="D82" s="224" t="s">
        <v>1678</v>
      </c>
      <c r="E82" s="225" t="s">
        <v>1679</v>
      </c>
      <c r="F82" s="225" t="s">
        <v>256</v>
      </c>
      <c r="G82" s="225" t="s">
        <v>256</v>
      </c>
      <c r="H82" s="225" t="s">
        <v>256</v>
      </c>
      <c r="I82" s="225" t="s">
        <v>256</v>
      </c>
      <c r="J82" s="320" t="s">
        <v>1776</v>
      </c>
      <c r="K82" s="224" t="s">
        <v>1777</v>
      </c>
      <c r="L82" s="224" t="s">
        <v>1674</v>
      </c>
      <c r="M82" s="224" t="s">
        <v>1674</v>
      </c>
      <c r="N82" s="224" t="s">
        <v>1674</v>
      </c>
      <c r="O82" s="320" t="s">
        <v>1781</v>
      </c>
      <c r="P82" s="226" t="s">
        <v>256</v>
      </c>
      <c r="Q82" s="374">
        <v>4849</v>
      </c>
      <c r="R82" s="323" t="s">
        <v>1673</v>
      </c>
      <c r="S82" s="324" t="str">
        <f t="shared" si="6"/>
        <v>critique</v>
      </c>
      <c r="T82" s="325" t="str">
        <f t="shared" si="7"/>
        <v>acceptable</v>
      </c>
      <c r="U82" s="228" t="s">
        <v>1673</v>
      </c>
      <c r="V82" s="228" t="s">
        <v>1673</v>
      </c>
      <c r="W82" s="228" t="s">
        <v>1673</v>
      </c>
      <c r="X82" s="229" t="s">
        <v>1673</v>
      </c>
      <c r="Y82" s="288" t="str">
        <f t="shared" si="8"/>
        <v>non</v>
      </c>
      <c r="Z82" s="328" t="str">
        <f t="shared" si="9"/>
        <v>élevé</v>
      </c>
      <c r="AA82" s="9"/>
      <c r="AB82" s="1"/>
      <c r="AC82" s="190">
        <f>_xlfn.XLOOKUP(E82&amp;F82&amp;G82&amp;H82&amp;I82&amp;J82&amp;K82&amp;L82&amp;M82&amp;N82&amp;O82&amp;P82,'[2]2.4 wsLookup'!$M$2:$M$96,'[2]2.4 wsLookup'!$N$2:$N$96,"Introuvable")</f>
        <v>1.5600000000000002E-3</v>
      </c>
      <c r="AD82" s="190">
        <f>_xlfn.XLOOKUP(E82&amp;F82&amp;G82&amp;H82&amp;I82&amp;J82&amp;K82&amp;L82&amp;M82&amp;N82&amp;O82&amp;P82,'[2]2.4 wsLookup'!$M$2:$M$96,'[2]2.4 wsLookup'!$O$2:$O$96,"Introuvable")</f>
        <v>0.85</v>
      </c>
      <c r="AE82" s="90">
        <f t="shared" ref="AE82:AE145" si="11">AC82*Q82^AD82</f>
        <v>2.1180146261952673</v>
      </c>
      <c r="AF82" s="206">
        <f>_xlfn.XLOOKUP(E82&amp;F82&amp;G82&amp;H82&amp;I82&amp;J82&amp;K82&amp;L82&amp;M82&amp;N82&amp;O82&amp;P82,'[2]2.4 wsLookup'!$M$2:$M$96,'[2]2.4 wsLookup'!$Q$2:$Q$96,"Introuvable")</f>
        <v>1.6401708719887149</v>
      </c>
      <c r="AG82" s="91">
        <f>_xlfn.XLOOKUP(E82&amp;F82&amp;G82&amp;H82&amp;I82&amp;J82&amp;K82&amp;L82&amp;M82&amp;N82&amp;O82&amp;P82,'[2]2.4 wsLookup'!$M$2:$M$96,'[2]2.4 wsLookup'!$P$2:$P$96,"Introuvable")</f>
        <v>7.0000000000000007E-2</v>
      </c>
      <c r="AH82" s="91">
        <f>_xlfn.XLOOKUP(E82&amp;F82&amp;G82&amp;H82&amp;I82&amp;J82&amp;K82&amp;L82&amp;M82&amp;N82&amp;O82&amp;P82,'[2]2.4 wsLookup'!$M$2:$M$96,'[2]2.4 wsLookup'!$R$2:$R$96,"Introuvable")</f>
        <v>6.6000000000000003E-2</v>
      </c>
      <c r="AI82" s="193">
        <f>_xlfn.XLOOKUP(E82&amp;F82&amp;G82&amp;H82&amp;I82&amp;J82&amp;K82&amp;L82&amp;M82&amp;N82&amp;O82&amp;P82,'[2]2.4 wsLookup'!$M$2:$M$96,'[2]2.4 wsLookup'!$S$2:$S$96,"Introuvable")</f>
        <v>4000</v>
      </c>
      <c r="AK82" t="str">
        <f t="shared" si="10"/>
        <v>en localité|-|-|-|-|Route Principale|Circulation mixte|oui|oui|oui|Bande cyclable|-</v>
      </c>
      <c r="AO82" t="s">
        <v>1782</v>
      </c>
    </row>
    <row r="83" spans="1:41" ht="39" customHeight="1">
      <c r="A83" s="1"/>
      <c r="B83" s="1"/>
      <c r="C83" s="188" t="s">
        <v>1783</v>
      </c>
      <c r="D83" s="224" t="s">
        <v>1678</v>
      </c>
      <c r="E83" s="225" t="s">
        <v>1679</v>
      </c>
      <c r="F83" s="225" t="s">
        <v>256</v>
      </c>
      <c r="G83" s="225" t="s">
        <v>256</v>
      </c>
      <c r="H83" s="225" t="s">
        <v>256</v>
      </c>
      <c r="I83" s="225" t="s">
        <v>256</v>
      </c>
      <c r="J83" s="320" t="s">
        <v>1776</v>
      </c>
      <c r="K83" s="224" t="s">
        <v>1777</v>
      </c>
      <c r="L83" s="224" t="s">
        <v>1674</v>
      </c>
      <c r="M83" s="224" t="s">
        <v>1674</v>
      </c>
      <c r="N83" s="224" t="s">
        <v>1674</v>
      </c>
      <c r="O83" s="320" t="s">
        <v>1778</v>
      </c>
      <c r="P83" s="226" t="s">
        <v>256</v>
      </c>
      <c r="Q83" s="374">
        <v>4849</v>
      </c>
      <c r="R83" s="323" t="s">
        <v>1673</v>
      </c>
      <c r="S83" s="324" t="str">
        <f t="shared" si="6"/>
        <v>acceptable</v>
      </c>
      <c r="T83" s="325" t="str">
        <f t="shared" si="7"/>
        <v>acceptable</v>
      </c>
      <c r="U83" s="228" t="s">
        <v>1673</v>
      </c>
      <c r="V83" s="228" t="s">
        <v>1673</v>
      </c>
      <c r="W83" s="228" t="s">
        <v>1673</v>
      </c>
      <c r="X83" s="229" t="s">
        <v>1673</v>
      </c>
      <c r="Y83" s="288" t="str">
        <f t="shared" si="8"/>
        <v>non</v>
      </c>
      <c r="Z83" s="328" t="str">
        <f t="shared" si="9"/>
        <v>moyen</v>
      </c>
      <c r="AA83" s="9"/>
      <c r="AB83" s="1"/>
      <c r="AC83" s="190">
        <f>_xlfn.XLOOKUP(E83&amp;F83&amp;G83&amp;H83&amp;I83&amp;J83&amp;K83&amp;L83&amp;M83&amp;N83&amp;O83&amp;P83,'[2]2.4 wsLookup'!$M$2:$M$96,'[2]2.4 wsLookup'!$N$2:$N$96,"Introuvable")</f>
        <v>1.32E-3</v>
      </c>
      <c r="AD83" s="190">
        <f>_xlfn.XLOOKUP(E83&amp;F83&amp;G83&amp;H83&amp;I83&amp;J83&amp;K83&amp;L83&amp;M83&amp;N83&amp;O83&amp;P83,'[2]2.4 wsLookup'!$M$2:$M$96,'[2]2.4 wsLookup'!$O$2:$O$96,"Introuvable")</f>
        <v>0.85</v>
      </c>
      <c r="AE83" s="90">
        <f t="shared" si="11"/>
        <v>1.7921662221652259</v>
      </c>
      <c r="AF83" s="206">
        <f>_xlfn.XLOOKUP(E83&amp;F83&amp;G83&amp;H83&amp;I83&amp;J83&amp;K83&amp;L83&amp;M83&amp;N83&amp;O83&amp;P83,'[2]2.4 wsLookup'!$M$2:$M$96,'[2]2.4 wsLookup'!$Q$2:$Q$96,"Introuvable")</f>
        <v>1.6401708719887149</v>
      </c>
      <c r="AG83" s="91">
        <f>_xlfn.XLOOKUP(E83&amp;F83&amp;G83&amp;H83&amp;I83&amp;J83&amp;K83&amp;L83&amp;M83&amp;N83&amp;O83&amp;P83,'[2]2.4 wsLookup'!$M$2:$M$96,'[2]2.4 wsLookup'!$P$2:$P$96,"Introuvable")</f>
        <v>6.3E-2</v>
      </c>
      <c r="AH83" s="91">
        <f>_xlfn.XLOOKUP(E83&amp;F83&amp;G83&amp;H83&amp;I83&amp;J83&amp;K83&amp;L83&amp;M83&amp;N83&amp;O83&amp;P83,'[2]2.4 wsLookup'!$M$2:$M$96,'[2]2.4 wsLookup'!$R$2:$R$96,"Introuvable")</f>
        <v>6.6000000000000003E-2</v>
      </c>
      <c r="AI83" s="193">
        <f>_xlfn.XLOOKUP(E83&amp;F83&amp;G83&amp;H83&amp;I83&amp;J83&amp;K83&amp;L83&amp;M83&amp;N83&amp;O83&amp;P83,'[2]2.4 wsLookup'!$M$2:$M$96,'[2]2.4 wsLookup'!$S$2:$S$96,"Introuvable")</f>
        <v>6000</v>
      </c>
      <c r="AK83" t="str">
        <f t="shared" si="10"/>
        <v>en localité|-|-|-|-|Route Principale|Circulation mixte|oui|oui|oui|Sans|-</v>
      </c>
      <c r="AO83" t="s">
        <v>1779</v>
      </c>
    </row>
    <row r="84" spans="1:41" ht="39" customHeight="1">
      <c r="A84" s="1"/>
      <c r="B84" s="1"/>
      <c r="C84" s="188" t="s">
        <v>1784</v>
      </c>
      <c r="D84" s="224" t="s">
        <v>1678</v>
      </c>
      <c r="E84" s="225" t="s">
        <v>1679</v>
      </c>
      <c r="F84" s="225" t="s">
        <v>256</v>
      </c>
      <c r="G84" s="225" t="s">
        <v>256</v>
      </c>
      <c r="H84" s="225" t="s">
        <v>256</v>
      </c>
      <c r="I84" s="225" t="s">
        <v>256</v>
      </c>
      <c r="J84" s="320" t="s">
        <v>1776</v>
      </c>
      <c r="K84" s="224" t="s">
        <v>1777</v>
      </c>
      <c r="L84" s="224" t="s">
        <v>1674</v>
      </c>
      <c r="M84" s="224" t="s">
        <v>1674</v>
      </c>
      <c r="N84" s="224" t="s">
        <v>1674</v>
      </c>
      <c r="O84" s="320" t="s">
        <v>1778</v>
      </c>
      <c r="P84" s="226" t="s">
        <v>256</v>
      </c>
      <c r="Q84" s="374">
        <v>5489</v>
      </c>
      <c r="R84" s="323" t="s">
        <v>1673</v>
      </c>
      <c r="S84" s="324" t="str">
        <f t="shared" si="6"/>
        <v>acceptable</v>
      </c>
      <c r="T84" s="325" t="str">
        <f t="shared" si="7"/>
        <v>acceptable</v>
      </c>
      <c r="U84" s="228" t="s">
        <v>1673</v>
      </c>
      <c r="V84" s="228" t="s">
        <v>1673</v>
      </c>
      <c r="W84" s="228" t="s">
        <v>1673</v>
      </c>
      <c r="X84" s="229" t="s">
        <v>1673</v>
      </c>
      <c r="Y84" s="288" t="str">
        <f t="shared" si="8"/>
        <v>non</v>
      </c>
      <c r="Z84" s="328" t="str">
        <f t="shared" si="9"/>
        <v>moyen</v>
      </c>
      <c r="AA84" s="9"/>
      <c r="AB84" s="1"/>
      <c r="AC84" s="190">
        <f>_xlfn.XLOOKUP(E84&amp;F84&amp;G84&amp;H84&amp;I84&amp;J84&amp;K84&amp;L84&amp;M84&amp;N84&amp;O84&amp;P84,'[2]2.4 wsLookup'!$M$2:$M$96,'[2]2.4 wsLookup'!$N$2:$N$96,"Introuvable")</f>
        <v>1.32E-3</v>
      </c>
      <c r="AD84" s="190">
        <f>_xlfn.XLOOKUP(E84&amp;F84&amp;G84&amp;H84&amp;I84&amp;J84&amp;K84&amp;L84&amp;M84&amp;N84&amp;O84&amp;P84,'[2]2.4 wsLookup'!$M$2:$M$96,'[2]2.4 wsLookup'!$O$2:$O$96,"Introuvable")</f>
        <v>0.85</v>
      </c>
      <c r="AE84" s="90">
        <f t="shared" si="11"/>
        <v>1.9913297285408407</v>
      </c>
      <c r="AF84" s="206">
        <f>_xlfn.XLOOKUP(E84&amp;F84&amp;G84&amp;H84&amp;I84&amp;J84&amp;K84&amp;L84&amp;M84&amp;N84&amp;O84&amp;P84,'[2]2.4 wsLookup'!$M$2:$M$96,'[2]2.4 wsLookup'!$Q$2:$Q$96,"Introuvable")</f>
        <v>1.6401708719887149</v>
      </c>
      <c r="AG84" s="91">
        <f>_xlfn.XLOOKUP(E84&amp;F84&amp;G84&amp;H84&amp;I84&amp;J84&amp;K84&amp;L84&amp;M84&amp;N84&amp;O84&amp;P84,'[2]2.4 wsLookup'!$M$2:$M$96,'[2]2.4 wsLookup'!$P$2:$P$96,"Introuvable")</f>
        <v>6.3E-2</v>
      </c>
      <c r="AH84" s="91">
        <f>_xlfn.XLOOKUP(E84&amp;F84&amp;G84&amp;H84&amp;I84&amp;J84&amp;K84&amp;L84&amp;M84&amp;N84&amp;O84&amp;P84,'[2]2.4 wsLookup'!$M$2:$M$96,'[2]2.4 wsLookup'!$R$2:$R$96,"Introuvable")</f>
        <v>6.6000000000000003E-2</v>
      </c>
      <c r="AI84" s="193">
        <f>_xlfn.XLOOKUP(E84&amp;F84&amp;G84&amp;H84&amp;I84&amp;J84&amp;K84&amp;L84&amp;M84&amp;N84&amp;O84&amp;P84,'[2]2.4 wsLookup'!$M$2:$M$96,'[2]2.4 wsLookup'!$S$2:$S$96,"Introuvable")</f>
        <v>6000</v>
      </c>
      <c r="AK84" t="str">
        <f t="shared" si="10"/>
        <v>en localité|-|-|-|-|Route Principale|Circulation mixte|oui|oui|oui|Sans|-</v>
      </c>
      <c r="AO84" t="s">
        <v>1779</v>
      </c>
    </row>
    <row r="85" spans="1:41" ht="39" customHeight="1">
      <c r="A85" s="1"/>
      <c r="B85" s="1"/>
      <c r="C85" s="188" t="s">
        <v>1785</v>
      </c>
      <c r="D85" s="224" t="s">
        <v>1678</v>
      </c>
      <c r="E85" s="225" t="s">
        <v>1679</v>
      </c>
      <c r="F85" s="225" t="s">
        <v>256</v>
      </c>
      <c r="G85" s="225" t="s">
        <v>256</v>
      </c>
      <c r="H85" s="225" t="s">
        <v>256</v>
      </c>
      <c r="I85" s="225" t="s">
        <v>256</v>
      </c>
      <c r="J85" s="320" t="s">
        <v>1776</v>
      </c>
      <c r="K85" s="224" t="s">
        <v>1777</v>
      </c>
      <c r="L85" s="224" t="s">
        <v>1674</v>
      </c>
      <c r="M85" s="224" t="s">
        <v>1674</v>
      </c>
      <c r="N85" s="224" t="s">
        <v>1674</v>
      </c>
      <c r="O85" s="320" t="s">
        <v>1778</v>
      </c>
      <c r="P85" s="226" t="s">
        <v>256</v>
      </c>
      <c r="Q85" s="374">
        <v>5489</v>
      </c>
      <c r="R85" s="323" t="s">
        <v>1673</v>
      </c>
      <c r="S85" s="324" t="str">
        <f t="shared" si="6"/>
        <v>acceptable</v>
      </c>
      <c r="T85" s="325" t="str">
        <f t="shared" si="7"/>
        <v>acceptable</v>
      </c>
      <c r="U85" s="228" t="s">
        <v>1673</v>
      </c>
      <c r="V85" s="228" t="s">
        <v>1673</v>
      </c>
      <c r="W85" s="228" t="s">
        <v>1673</v>
      </c>
      <c r="X85" s="229" t="s">
        <v>1673</v>
      </c>
      <c r="Y85" s="288" t="str">
        <f t="shared" si="8"/>
        <v>non</v>
      </c>
      <c r="Z85" s="328" t="str">
        <f t="shared" si="9"/>
        <v>moyen</v>
      </c>
      <c r="AA85" s="9"/>
      <c r="AB85" s="1"/>
      <c r="AC85" s="190">
        <f>_xlfn.XLOOKUP(E85&amp;F85&amp;G85&amp;H85&amp;I85&amp;J85&amp;K85&amp;L85&amp;M85&amp;N85&amp;O85&amp;P85,'[2]2.4 wsLookup'!$M$2:$M$96,'[2]2.4 wsLookup'!$N$2:$N$96,"Introuvable")</f>
        <v>1.32E-3</v>
      </c>
      <c r="AD85" s="190">
        <f>_xlfn.XLOOKUP(E85&amp;F85&amp;G85&amp;H85&amp;I85&amp;J85&amp;K85&amp;L85&amp;M85&amp;N85&amp;O85&amp;P85,'[2]2.4 wsLookup'!$M$2:$M$96,'[2]2.4 wsLookup'!$O$2:$O$96,"Introuvable")</f>
        <v>0.85</v>
      </c>
      <c r="AE85" s="90">
        <f t="shared" si="11"/>
        <v>1.9913297285408407</v>
      </c>
      <c r="AF85" s="206">
        <f>_xlfn.XLOOKUP(E85&amp;F85&amp;G85&amp;H85&amp;I85&amp;J85&amp;K85&amp;L85&amp;M85&amp;N85&amp;O85&amp;P85,'[2]2.4 wsLookup'!$M$2:$M$96,'[2]2.4 wsLookup'!$Q$2:$Q$96,"Introuvable")</f>
        <v>1.6401708719887149</v>
      </c>
      <c r="AG85" s="91">
        <f>_xlfn.XLOOKUP(E85&amp;F85&amp;G85&amp;H85&amp;I85&amp;J85&amp;K85&amp;L85&amp;M85&amp;N85&amp;O85&amp;P85,'[2]2.4 wsLookup'!$M$2:$M$96,'[2]2.4 wsLookup'!$P$2:$P$96,"Introuvable")</f>
        <v>6.3E-2</v>
      </c>
      <c r="AH85" s="91">
        <f>_xlfn.XLOOKUP(E85&amp;F85&amp;G85&amp;H85&amp;I85&amp;J85&amp;K85&amp;L85&amp;M85&amp;N85&amp;O85&amp;P85,'[2]2.4 wsLookup'!$M$2:$M$96,'[2]2.4 wsLookup'!$R$2:$R$96,"Introuvable")</f>
        <v>6.6000000000000003E-2</v>
      </c>
      <c r="AI85" s="193">
        <f>_xlfn.XLOOKUP(E85&amp;F85&amp;G85&amp;H85&amp;I85&amp;J85&amp;K85&amp;L85&amp;M85&amp;N85&amp;O85&amp;P85,'[2]2.4 wsLookup'!$M$2:$M$96,'[2]2.4 wsLookup'!$S$2:$S$96,"Introuvable")</f>
        <v>6000</v>
      </c>
      <c r="AK85" t="str">
        <f t="shared" si="10"/>
        <v>en localité|-|-|-|-|Route Principale|Circulation mixte|oui|oui|oui|Sans|-</v>
      </c>
      <c r="AO85" t="s">
        <v>1779</v>
      </c>
    </row>
    <row r="86" spans="1:41" ht="39" customHeight="1">
      <c r="A86" s="1"/>
      <c r="B86" s="1"/>
      <c r="C86" s="188" t="s">
        <v>1786</v>
      </c>
      <c r="D86" s="224" t="s">
        <v>1678</v>
      </c>
      <c r="E86" s="225" t="s">
        <v>1679</v>
      </c>
      <c r="F86" s="225" t="s">
        <v>256</v>
      </c>
      <c r="G86" s="225" t="s">
        <v>256</v>
      </c>
      <c r="H86" s="225" t="s">
        <v>256</v>
      </c>
      <c r="I86" s="225" t="s">
        <v>256</v>
      </c>
      <c r="J86" s="320" t="s">
        <v>1776</v>
      </c>
      <c r="K86" s="224" t="s">
        <v>1777</v>
      </c>
      <c r="L86" s="224" t="s">
        <v>1674</v>
      </c>
      <c r="M86" s="224" t="s">
        <v>1674</v>
      </c>
      <c r="N86" s="224" t="s">
        <v>1674</v>
      </c>
      <c r="O86" s="320" t="s">
        <v>1778</v>
      </c>
      <c r="P86" s="226" t="s">
        <v>256</v>
      </c>
      <c r="Q86" s="374">
        <v>4849</v>
      </c>
      <c r="R86" s="323" t="s">
        <v>1673</v>
      </c>
      <c r="S86" s="324" t="str">
        <f t="shared" si="6"/>
        <v>acceptable</v>
      </c>
      <c r="T86" s="325" t="str">
        <f t="shared" si="7"/>
        <v>acceptable</v>
      </c>
      <c r="U86" s="228" t="s">
        <v>1673</v>
      </c>
      <c r="V86" s="228" t="s">
        <v>1673</v>
      </c>
      <c r="W86" s="228" t="s">
        <v>1673</v>
      </c>
      <c r="X86" s="229" t="s">
        <v>1673</v>
      </c>
      <c r="Y86" s="288" t="str">
        <f t="shared" si="8"/>
        <v>non</v>
      </c>
      <c r="Z86" s="328" t="str">
        <f t="shared" si="9"/>
        <v>moyen</v>
      </c>
      <c r="AA86" s="9"/>
      <c r="AB86" s="1"/>
      <c r="AC86" s="190">
        <f>_xlfn.XLOOKUP(E86&amp;F86&amp;G86&amp;H86&amp;I86&amp;J86&amp;K86&amp;L86&amp;M86&amp;N86&amp;O86&amp;P86,'[2]2.4 wsLookup'!$M$2:$M$96,'[2]2.4 wsLookup'!$N$2:$N$96,"Introuvable")</f>
        <v>1.32E-3</v>
      </c>
      <c r="AD86" s="190">
        <f>_xlfn.XLOOKUP(E86&amp;F86&amp;G86&amp;H86&amp;I86&amp;J86&amp;K86&amp;L86&amp;M86&amp;N86&amp;O86&amp;P86,'[2]2.4 wsLookup'!$M$2:$M$96,'[2]2.4 wsLookup'!$O$2:$O$96,"Introuvable")</f>
        <v>0.85</v>
      </c>
      <c r="AE86" s="90">
        <f t="shared" si="11"/>
        <v>1.7921662221652259</v>
      </c>
      <c r="AF86" s="206">
        <f>_xlfn.XLOOKUP(E86&amp;F86&amp;G86&amp;H86&amp;I86&amp;J86&amp;K86&amp;L86&amp;M86&amp;N86&amp;O86&amp;P86,'[2]2.4 wsLookup'!$M$2:$M$96,'[2]2.4 wsLookup'!$Q$2:$Q$96,"Introuvable")</f>
        <v>1.6401708719887149</v>
      </c>
      <c r="AG86" s="91">
        <f>_xlfn.XLOOKUP(E86&amp;F86&amp;G86&amp;H86&amp;I86&amp;J86&amp;K86&amp;L86&amp;M86&amp;N86&amp;O86&amp;P86,'[2]2.4 wsLookup'!$M$2:$M$96,'[2]2.4 wsLookup'!$P$2:$P$96,"Introuvable")</f>
        <v>6.3E-2</v>
      </c>
      <c r="AH86" s="91">
        <f>_xlfn.XLOOKUP(E86&amp;F86&amp;G86&amp;H86&amp;I86&amp;J86&amp;K86&amp;L86&amp;M86&amp;N86&amp;O86&amp;P86,'[2]2.4 wsLookup'!$M$2:$M$96,'[2]2.4 wsLookup'!$R$2:$R$96,"Introuvable")</f>
        <v>6.6000000000000003E-2</v>
      </c>
      <c r="AI86" s="193">
        <f>_xlfn.XLOOKUP(E86&amp;F86&amp;G86&amp;H86&amp;I86&amp;J86&amp;K86&amp;L86&amp;M86&amp;N86&amp;O86&amp;P86,'[2]2.4 wsLookup'!$M$2:$M$96,'[2]2.4 wsLookup'!$S$2:$S$96,"Introuvable")</f>
        <v>6000</v>
      </c>
      <c r="AK86" t="str">
        <f t="shared" si="10"/>
        <v>en localité|-|-|-|-|Route Principale|Circulation mixte|oui|oui|oui|Sans|-</v>
      </c>
      <c r="AO86" t="s">
        <v>1779</v>
      </c>
    </row>
    <row r="87" spans="1:41" ht="39" customHeight="1">
      <c r="A87" s="1"/>
      <c r="B87" s="1"/>
      <c r="C87" s="188" t="s">
        <v>1787</v>
      </c>
      <c r="D87" s="224" t="s">
        <v>1678</v>
      </c>
      <c r="E87" s="225" t="s">
        <v>1679</v>
      </c>
      <c r="F87" s="225" t="s">
        <v>256</v>
      </c>
      <c r="G87" s="225" t="s">
        <v>256</v>
      </c>
      <c r="H87" s="225" t="s">
        <v>256</v>
      </c>
      <c r="I87" s="225" t="s">
        <v>256</v>
      </c>
      <c r="J87" s="320" t="s">
        <v>1776</v>
      </c>
      <c r="K87" s="224" t="s">
        <v>1777</v>
      </c>
      <c r="L87" s="224" t="s">
        <v>1674</v>
      </c>
      <c r="M87" s="224" t="s">
        <v>1674</v>
      </c>
      <c r="N87" s="224" t="s">
        <v>1674</v>
      </c>
      <c r="O87" s="320" t="s">
        <v>1778</v>
      </c>
      <c r="P87" s="226" t="s">
        <v>256</v>
      </c>
      <c r="Q87" s="374">
        <v>4849</v>
      </c>
      <c r="R87" s="323" t="s">
        <v>1673</v>
      </c>
      <c r="S87" s="324" t="str">
        <f t="shared" si="6"/>
        <v>acceptable</v>
      </c>
      <c r="T87" s="325" t="str">
        <f t="shared" si="7"/>
        <v>acceptable</v>
      </c>
      <c r="U87" s="228" t="s">
        <v>1673</v>
      </c>
      <c r="V87" s="228" t="s">
        <v>1673</v>
      </c>
      <c r="W87" s="228" t="s">
        <v>1673</v>
      </c>
      <c r="X87" s="229" t="s">
        <v>1673</v>
      </c>
      <c r="Y87" s="288" t="str">
        <f t="shared" si="8"/>
        <v>non</v>
      </c>
      <c r="Z87" s="328" t="str">
        <f t="shared" si="9"/>
        <v>moyen</v>
      </c>
      <c r="AA87" s="9"/>
      <c r="AB87" s="1"/>
      <c r="AC87" s="190">
        <f>_xlfn.XLOOKUP(E87&amp;F87&amp;G87&amp;H87&amp;I87&amp;J87&amp;K87&amp;L87&amp;M87&amp;N87&amp;O87&amp;P87,'[2]2.4 wsLookup'!$M$2:$M$96,'[2]2.4 wsLookup'!$N$2:$N$96,"Introuvable")</f>
        <v>1.32E-3</v>
      </c>
      <c r="AD87" s="190">
        <f>_xlfn.XLOOKUP(E87&amp;F87&amp;G87&amp;H87&amp;I87&amp;J87&amp;K87&amp;L87&amp;M87&amp;N87&amp;O87&amp;P87,'[2]2.4 wsLookup'!$M$2:$M$96,'[2]2.4 wsLookup'!$O$2:$O$96,"Introuvable")</f>
        <v>0.85</v>
      </c>
      <c r="AE87" s="90">
        <f t="shared" si="11"/>
        <v>1.7921662221652259</v>
      </c>
      <c r="AF87" s="206">
        <f>_xlfn.XLOOKUP(E87&amp;F87&amp;G87&amp;H87&amp;I87&amp;J87&amp;K87&amp;L87&amp;M87&amp;N87&amp;O87&amp;P87,'[2]2.4 wsLookup'!$M$2:$M$96,'[2]2.4 wsLookup'!$Q$2:$Q$96,"Introuvable")</f>
        <v>1.6401708719887149</v>
      </c>
      <c r="AG87" s="91">
        <f>_xlfn.XLOOKUP(E87&amp;F87&amp;G87&amp;H87&amp;I87&amp;J87&amp;K87&amp;L87&amp;M87&amp;N87&amp;O87&amp;P87,'[2]2.4 wsLookup'!$M$2:$M$96,'[2]2.4 wsLookup'!$P$2:$P$96,"Introuvable")</f>
        <v>6.3E-2</v>
      </c>
      <c r="AH87" s="91">
        <f>_xlfn.XLOOKUP(E87&amp;F87&amp;G87&amp;H87&amp;I87&amp;J87&amp;K87&amp;L87&amp;M87&amp;N87&amp;O87&amp;P87,'[2]2.4 wsLookup'!$M$2:$M$96,'[2]2.4 wsLookup'!$R$2:$R$96,"Introuvable")</f>
        <v>6.6000000000000003E-2</v>
      </c>
      <c r="AI87" s="193">
        <f>_xlfn.XLOOKUP(E87&amp;F87&amp;G87&amp;H87&amp;I87&amp;J87&amp;K87&amp;L87&amp;M87&amp;N87&amp;O87&amp;P87,'[2]2.4 wsLookup'!$M$2:$M$96,'[2]2.4 wsLookup'!$S$2:$S$96,"Introuvable")</f>
        <v>6000</v>
      </c>
      <c r="AK87" t="str">
        <f t="shared" si="10"/>
        <v>en localité|-|-|-|-|Route Principale|Circulation mixte|oui|oui|oui|Sans|-</v>
      </c>
      <c r="AO87" t="s">
        <v>1779</v>
      </c>
    </row>
    <row r="88" spans="1:41" ht="39" customHeight="1">
      <c r="A88" s="1"/>
      <c r="B88" s="1"/>
      <c r="C88" s="188" t="s">
        <v>1788</v>
      </c>
      <c r="D88" s="224" t="s">
        <v>1678</v>
      </c>
      <c r="E88" s="225" t="s">
        <v>1679</v>
      </c>
      <c r="F88" s="225" t="s">
        <v>256</v>
      </c>
      <c r="G88" s="225" t="s">
        <v>256</v>
      </c>
      <c r="H88" s="225" t="s">
        <v>256</v>
      </c>
      <c r="I88" s="225" t="s">
        <v>256</v>
      </c>
      <c r="J88" s="320" t="s">
        <v>1776</v>
      </c>
      <c r="K88" s="224" t="s">
        <v>1777</v>
      </c>
      <c r="L88" s="224" t="s">
        <v>1673</v>
      </c>
      <c r="M88" s="224" t="s">
        <v>1674</v>
      </c>
      <c r="N88" s="224" t="s">
        <v>1674</v>
      </c>
      <c r="O88" s="320" t="s">
        <v>1778</v>
      </c>
      <c r="P88" s="226" t="s">
        <v>256</v>
      </c>
      <c r="Q88" s="374">
        <v>5299</v>
      </c>
      <c r="R88" s="323" t="s">
        <v>1673</v>
      </c>
      <c r="S88" s="324" t="str">
        <f t="shared" si="6"/>
        <v>sûr</v>
      </c>
      <c r="T88" s="325" t="str">
        <f t="shared" si="7"/>
        <v>fluide</v>
      </c>
      <c r="U88" s="228" t="s">
        <v>1673</v>
      </c>
      <c r="V88" s="228" t="s">
        <v>1673</v>
      </c>
      <c r="W88" s="228" t="s">
        <v>1673</v>
      </c>
      <c r="X88" s="229" t="s">
        <v>1673</v>
      </c>
      <c r="Y88" s="288" t="str">
        <f t="shared" si="8"/>
        <v>non</v>
      </c>
      <c r="Z88" s="328" t="str">
        <f t="shared" si="9"/>
        <v>faible</v>
      </c>
      <c r="AA88" s="9"/>
      <c r="AB88" s="1"/>
      <c r="AC88" s="190">
        <f>_xlfn.XLOOKUP(E88&amp;F88&amp;G88&amp;H88&amp;I88&amp;J88&amp;K88&amp;L88&amp;M88&amp;N88&amp;O88&amp;P88,'[2]2.4 wsLookup'!$M$2:$M$96,'[2]2.4 wsLookup'!$N$2:$N$96,"Introuvable")</f>
        <v>9.59E-4</v>
      </c>
      <c r="AD88" s="190">
        <f>_xlfn.XLOOKUP(E88&amp;F88&amp;G88&amp;H88&amp;I88&amp;J88&amp;K88&amp;L88&amp;M88&amp;N88&amp;O88&amp;P88,'[2]2.4 wsLookup'!$M$2:$M$96,'[2]2.4 wsLookup'!$O$2:$O$96,"Introuvable")</f>
        <v>0.85</v>
      </c>
      <c r="AE88" s="90">
        <f t="shared" si="11"/>
        <v>1.4040527962145399</v>
      </c>
      <c r="AF88" s="206">
        <f>_xlfn.XLOOKUP(E88&amp;F88&amp;G88&amp;H88&amp;I88&amp;J88&amp;K88&amp;L88&amp;M88&amp;N88&amp;O88&amp;P88,'[2]2.4 wsLookup'!$M$2:$M$96,'[2]2.4 wsLookup'!$Q$2:$Q$96,"Introuvable")</f>
        <v>1.6401708719887149</v>
      </c>
      <c r="AG88" s="91">
        <f>_xlfn.XLOOKUP(E88&amp;F88&amp;G88&amp;H88&amp;I88&amp;J88&amp;K88&amp;L88&amp;M88&amp;N88&amp;O88&amp;P88,'[2]2.4 wsLookup'!$M$2:$M$96,'[2]2.4 wsLookup'!$P$2:$P$96,"Introuvable")</f>
        <v>5.0999999999999997E-2</v>
      </c>
      <c r="AH88" s="91">
        <f>_xlfn.XLOOKUP(E88&amp;F88&amp;G88&amp;H88&amp;I88&amp;J88&amp;K88&amp;L88&amp;M88&amp;N88&amp;O88&amp;P88,'[2]2.4 wsLookup'!$M$2:$M$96,'[2]2.4 wsLookup'!$R$2:$R$96,"Introuvable")</f>
        <v>6.6000000000000003E-2</v>
      </c>
      <c r="AI88" s="193">
        <f>_xlfn.XLOOKUP(E88&amp;F88&amp;G88&amp;H88&amp;I88&amp;J88&amp;K88&amp;L88&amp;M88&amp;N88&amp;O88&amp;P88,'[2]2.4 wsLookup'!$M$2:$M$96,'[2]2.4 wsLookup'!$S$2:$S$96,"Introuvable")</f>
        <v>9000</v>
      </c>
      <c r="AK88" t="str">
        <f t="shared" si="10"/>
        <v>en localité|-|-|-|-|Route Principale|Circulation mixte|non|oui|oui|Sans|-</v>
      </c>
      <c r="AO88" t="s">
        <v>1789</v>
      </c>
    </row>
    <row r="89" spans="1:41" ht="39" customHeight="1">
      <c r="A89" s="1"/>
      <c r="B89" s="1"/>
      <c r="C89" s="188" t="s">
        <v>1790</v>
      </c>
      <c r="D89" s="224" t="s">
        <v>1678</v>
      </c>
      <c r="E89" s="225" t="s">
        <v>1679</v>
      </c>
      <c r="F89" s="225" t="s">
        <v>256</v>
      </c>
      <c r="G89" s="225" t="s">
        <v>256</v>
      </c>
      <c r="H89" s="225" t="s">
        <v>256</v>
      </c>
      <c r="I89" s="225" t="s">
        <v>256</v>
      </c>
      <c r="J89" s="320" t="s">
        <v>1776</v>
      </c>
      <c r="K89" s="224" t="s">
        <v>1777</v>
      </c>
      <c r="L89" s="224" t="s">
        <v>1674</v>
      </c>
      <c r="M89" s="224" t="s">
        <v>1674</v>
      </c>
      <c r="N89" s="224" t="s">
        <v>1674</v>
      </c>
      <c r="O89" s="320" t="s">
        <v>1778</v>
      </c>
      <c r="P89" s="226" t="s">
        <v>256</v>
      </c>
      <c r="Q89" s="374">
        <v>5079</v>
      </c>
      <c r="R89" s="323" t="s">
        <v>1673</v>
      </c>
      <c r="S89" s="324" t="str">
        <f t="shared" si="6"/>
        <v>acceptable</v>
      </c>
      <c r="T89" s="325" t="str">
        <f t="shared" si="7"/>
        <v>acceptable</v>
      </c>
      <c r="U89" s="228" t="s">
        <v>1673</v>
      </c>
      <c r="V89" s="228" t="s">
        <v>1673</v>
      </c>
      <c r="W89" s="228" t="s">
        <v>1673</v>
      </c>
      <c r="X89" s="229" t="s">
        <v>1673</v>
      </c>
      <c r="Y89" s="288" t="str">
        <f t="shared" si="8"/>
        <v>non</v>
      </c>
      <c r="Z89" s="328" t="str">
        <f t="shared" si="9"/>
        <v>moyen</v>
      </c>
      <c r="AA89" s="9"/>
      <c r="AB89" s="1"/>
      <c r="AC89" s="190">
        <f>_xlfn.XLOOKUP(E89&amp;F89&amp;G89&amp;H89&amp;I89&amp;J89&amp;K89&amp;L89&amp;M89&amp;N89&amp;O89&amp;P89,'[2]2.4 wsLookup'!$M$2:$M$96,'[2]2.4 wsLookup'!$N$2:$N$96,"Introuvable")</f>
        <v>1.32E-3</v>
      </c>
      <c r="AD89" s="190">
        <f>_xlfn.XLOOKUP(E89&amp;F89&amp;G89&amp;H89&amp;I89&amp;J89&amp;K89&amp;L89&amp;M89&amp;N89&amp;O89&amp;P89,'[2]2.4 wsLookup'!$M$2:$M$96,'[2]2.4 wsLookup'!$O$2:$O$96,"Introuvable")</f>
        <v>0.85</v>
      </c>
      <c r="AE89" s="90">
        <f t="shared" si="11"/>
        <v>1.8641695600106087</v>
      </c>
      <c r="AF89" s="206">
        <f>_xlfn.XLOOKUP(E89&amp;F89&amp;G89&amp;H89&amp;I89&amp;J89&amp;K89&amp;L89&amp;M89&amp;N89&amp;O89&amp;P89,'[2]2.4 wsLookup'!$M$2:$M$96,'[2]2.4 wsLookup'!$Q$2:$Q$96,"Introuvable")</f>
        <v>1.6401708719887149</v>
      </c>
      <c r="AG89" s="91">
        <f>_xlfn.XLOOKUP(E89&amp;F89&amp;G89&amp;H89&amp;I89&amp;J89&amp;K89&amp;L89&amp;M89&amp;N89&amp;O89&amp;P89,'[2]2.4 wsLookup'!$M$2:$M$96,'[2]2.4 wsLookup'!$P$2:$P$96,"Introuvable")</f>
        <v>6.3E-2</v>
      </c>
      <c r="AH89" s="91">
        <f>_xlfn.XLOOKUP(E89&amp;F89&amp;G89&amp;H89&amp;I89&amp;J89&amp;K89&amp;L89&amp;M89&amp;N89&amp;O89&amp;P89,'[2]2.4 wsLookup'!$M$2:$M$96,'[2]2.4 wsLookup'!$R$2:$R$96,"Introuvable")</f>
        <v>6.6000000000000003E-2</v>
      </c>
      <c r="AI89" s="193">
        <f>_xlfn.XLOOKUP(E89&amp;F89&amp;G89&amp;H89&amp;I89&amp;J89&amp;K89&amp;L89&amp;M89&amp;N89&amp;O89&amp;P89,'[2]2.4 wsLookup'!$M$2:$M$96,'[2]2.4 wsLookup'!$S$2:$S$96,"Introuvable")</f>
        <v>6000</v>
      </c>
      <c r="AK89" t="str">
        <f t="shared" si="10"/>
        <v>en localité|-|-|-|-|Route Principale|Circulation mixte|oui|oui|oui|Sans|-</v>
      </c>
      <c r="AO89" t="s">
        <v>1779</v>
      </c>
    </row>
    <row r="90" spans="1:41" ht="39" customHeight="1">
      <c r="A90" s="1"/>
      <c r="B90" s="1"/>
      <c r="C90" s="188" t="s">
        <v>1791</v>
      </c>
      <c r="D90" s="224" t="s">
        <v>1678</v>
      </c>
      <c r="E90" s="225" t="s">
        <v>1679</v>
      </c>
      <c r="F90" s="225" t="s">
        <v>256</v>
      </c>
      <c r="G90" s="225" t="s">
        <v>256</v>
      </c>
      <c r="H90" s="225" t="s">
        <v>256</v>
      </c>
      <c r="I90" s="225" t="s">
        <v>256</v>
      </c>
      <c r="J90" s="320" t="s">
        <v>1776</v>
      </c>
      <c r="K90" s="224" t="s">
        <v>1777</v>
      </c>
      <c r="L90" s="224" t="s">
        <v>1673</v>
      </c>
      <c r="M90" s="224" t="s">
        <v>1674</v>
      </c>
      <c r="N90" s="224" t="s">
        <v>1674</v>
      </c>
      <c r="O90" s="320" t="s">
        <v>1778</v>
      </c>
      <c r="P90" s="226" t="s">
        <v>256</v>
      </c>
      <c r="Q90" s="374">
        <v>5079</v>
      </c>
      <c r="R90" s="323" t="s">
        <v>1673</v>
      </c>
      <c r="S90" s="324" t="str">
        <f t="shared" si="6"/>
        <v>sûr</v>
      </c>
      <c r="T90" s="325" t="str">
        <f t="shared" si="7"/>
        <v>fluide</v>
      </c>
      <c r="U90" s="228" t="s">
        <v>1673</v>
      </c>
      <c r="V90" s="228" t="s">
        <v>1673</v>
      </c>
      <c r="W90" s="228" t="s">
        <v>1673</v>
      </c>
      <c r="X90" s="229" t="s">
        <v>1673</v>
      </c>
      <c r="Y90" s="288" t="str">
        <f t="shared" si="8"/>
        <v>non</v>
      </c>
      <c r="Z90" s="328" t="str">
        <f t="shared" si="9"/>
        <v>faible</v>
      </c>
      <c r="AA90" s="9"/>
      <c r="AB90" s="1"/>
      <c r="AC90" s="190">
        <f>_xlfn.XLOOKUP(E90&amp;F90&amp;G90&amp;H90&amp;I90&amp;J90&amp;K90&amp;L90&amp;M90&amp;N90&amp;O90&amp;P90,'[2]2.4 wsLookup'!$M$2:$M$96,'[2]2.4 wsLookup'!$N$2:$N$96,"Introuvable")</f>
        <v>9.59E-4</v>
      </c>
      <c r="AD90" s="190">
        <f>_xlfn.XLOOKUP(E90&amp;F90&amp;G90&amp;H90&amp;I90&amp;J90&amp;K90&amp;L90&amp;M90&amp;N90&amp;O90&amp;P90,'[2]2.4 wsLookup'!$M$2:$M$96,'[2]2.4 wsLookup'!$O$2:$O$96,"Introuvable")</f>
        <v>0.85</v>
      </c>
      <c r="AE90" s="90">
        <f t="shared" si="11"/>
        <v>1.3543474303410408</v>
      </c>
      <c r="AF90" s="206">
        <f>_xlfn.XLOOKUP(E90&amp;F90&amp;G90&amp;H90&amp;I90&amp;J90&amp;K90&amp;L90&amp;M90&amp;N90&amp;O90&amp;P90,'[2]2.4 wsLookup'!$M$2:$M$96,'[2]2.4 wsLookup'!$Q$2:$Q$96,"Introuvable")</f>
        <v>1.6401708719887149</v>
      </c>
      <c r="AG90" s="91">
        <f>_xlfn.XLOOKUP(E90&amp;F90&amp;G90&amp;H90&amp;I90&amp;J90&amp;K90&amp;L90&amp;M90&amp;N90&amp;O90&amp;P90,'[2]2.4 wsLookup'!$M$2:$M$96,'[2]2.4 wsLookup'!$P$2:$P$96,"Introuvable")</f>
        <v>5.0999999999999997E-2</v>
      </c>
      <c r="AH90" s="91">
        <f>_xlfn.XLOOKUP(E90&amp;F90&amp;G90&amp;H90&amp;I90&amp;J90&amp;K90&amp;L90&amp;M90&amp;N90&amp;O90&amp;P90,'[2]2.4 wsLookup'!$M$2:$M$96,'[2]2.4 wsLookup'!$R$2:$R$96,"Introuvable")</f>
        <v>6.6000000000000003E-2</v>
      </c>
      <c r="AI90" s="193">
        <f>_xlfn.XLOOKUP(E90&amp;F90&amp;G90&amp;H90&amp;I90&amp;J90&amp;K90&amp;L90&amp;M90&amp;N90&amp;O90&amp;P90,'[2]2.4 wsLookup'!$M$2:$M$96,'[2]2.4 wsLookup'!$S$2:$S$96,"Introuvable")</f>
        <v>9000</v>
      </c>
      <c r="AK90" t="str">
        <f t="shared" si="10"/>
        <v>en localité|-|-|-|-|Route Principale|Circulation mixte|non|oui|oui|Sans|-</v>
      </c>
      <c r="AO90" t="s">
        <v>1789</v>
      </c>
    </row>
    <row r="91" spans="1:41" ht="39" customHeight="1">
      <c r="A91" s="1"/>
      <c r="B91" s="1"/>
      <c r="C91" s="188" t="s">
        <v>1792</v>
      </c>
      <c r="D91" s="224" t="s">
        <v>1678</v>
      </c>
      <c r="E91" s="225" t="s">
        <v>1679</v>
      </c>
      <c r="F91" s="225" t="s">
        <v>256</v>
      </c>
      <c r="G91" s="225" t="s">
        <v>256</v>
      </c>
      <c r="H91" s="225" t="s">
        <v>256</v>
      </c>
      <c r="I91" s="225" t="s">
        <v>256</v>
      </c>
      <c r="J91" s="320" t="s">
        <v>1776</v>
      </c>
      <c r="K91" s="224" t="s">
        <v>1777</v>
      </c>
      <c r="L91" s="224" t="s">
        <v>1673</v>
      </c>
      <c r="M91" s="224" t="s">
        <v>1674</v>
      </c>
      <c r="N91" s="224" t="s">
        <v>1674</v>
      </c>
      <c r="O91" s="320" t="s">
        <v>1778</v>
      </c>
      <c r="P91" s="226" t="s">
        <v>256</v>
      </c>
      <c r="Q91" s="374">
        <v>7997</v>
      </c>
      <c r="R91" s="323" t="s">
        <v>1673</v>
      </c>
      <c r="S91" s="324" t="str">
        <f t="shared" si="6"/>
        <v>acceptable</v>
      </c>
      <c r="T91" s="325" t="str">
        <f t="shared" si="7"/>
        <v>acceptable</v>
      </c>
      <c r="U91" s="228" t="s">
        <v>1673</v>
      </c>
      <c r="V91" s="228" t="s">
        <v>1673</v>
      </c>
      <c r="W91" s="228" t="s">
        <v>1674</v>
      </c>
      <c r="X91" s="229" t="s">
        <v>1674</v>
      </c>
      <c r="Y91" s="288" t="str">
        <f t="shared" si="8"/>
        <v>oui</v>
      </c>
      <c r="Z91" s="328" t="str">
        <f t="shared" si="9"/>
        <v>élevé</v>
      </c>
      <c r="AA91" s="9"/>
      <c r="AB91" s="1"/>
      <c r="AC91" s="190">
        <f>_xlfn.XLOOKUP(E91&amp;F91&amp;G91&amp;H91&amp;I91&amp;J91&amp;K91&amp;L91&amp;M91&amp;N91&amp;O91&amp;P91,'[2]2.4 wsLookup'!$M$2:$M$96,'[2]2.4 wsLookup'!$N$2:$N$96,"Introuvable")</f>
        <v>9.59E-4</v>
      </c>
      <c r="AD91" s="190">
        <f>_xlfn.XLOOKUP(E91&amp;F91&amp;G91&amp;H91&amp;I91&amp;J91&amp;K91&amp;L91&amp;M91&amp;N91&amp;O91&amp;P91,'[2]2.4 wsLookup'!$M$2:$M$96,'[2]2.4 wsLookup'!$O$2:$O$96,"Introuvable")</f>
        <v>0.85</v>
      </c>
      <c r="AE91" s="90">
        <f t="shared" si="11"/>
        <v>1.9920793738947535</v>
      </c>
      <c r="AF91" s="206">
        <f>_xlfn.XLOOKUP(E91&amp;F91&amp;G91&amp;H91&amp;I91&amp;J91&amp;K91&amp;L91&amp;M91&amp;N91&amp;O91&amp;P91,'[2]2.4 wsLookup'!$M$2:$M$96,'[2]2.4 wsLookup'!$Q$2:$Q$96,"Introuvable")</f>
        <v>1.6401708719887149</v>
      </c>
      <c r="AG91" s="91">
        <f>_xlfn.XLOOKUP(E91&amp;F91&amp;G91&amp;H91&amp;I91&amp;J91&amp;K91&amp;L91&amp;M91&amp;N91&amp;O91&amp;P91,'[2]2.4 wsLookup'!$M$2:$M$96,'[2]2.4 wsLookup'!$P$2:$P$96,"Introuvable")</f>
        <v>5.0999999999999997E-2</v>
      </c>
      <c r="AH91" s="91">
        <f>_xlfn.XLOOKUP(E91&amp;F91&amp;G91&amp;H91&amp;I91&amp;J91&amp;K91&amp;L91&amp;M91&amp;N91&amp;O91&amp;P91,'[2]2.4 wsLookup'!$M$2:$M$96,'[2]2.4 wsLookup'!$R$2:$R$96,"Introuvable")</f>
        <v>6.6000000000000003E-2</v>
      </c>
      <c r="AI91" s="193">
        <f>_xlfn.XLOOKUP(E91&amp;F91&amp;G91&amp;H91&amp;I91&amp;J91&amp;K91&amp;L91&amp;M91&amp;N91&amp;O91&amp;P91,'[2]2.4 wsLookup'!$M$2:$M$96,'[2]2.4 wsLookup'!$S$2:$S$96,"Introuvable")</f>
        <v>9000</v>
      </c>
      <c r="AK91" t="str">
        <f t="shared" si="10"/>
        <v>en localité|-|-|-|-|Route Principale|Circulation mixte|non|oui|oui|Sans|-</v>
      </c>
      <c r="AO91" t="s">
        <v>1793</v>
      </c>
    </row>
    <row r="92" spans="1:41" ht="39" customHeight="1">
      <c r="A92" s="1"/>
      <c r="B92" s="1"/>
      <c r="C92" s="188" t="s">
        <v>1794</v>
      </c>
      <c r="D92" s="224" t="s">
        <v>1678</v>
      </c>
      <c r="E92" s="225" t="s">
        <v>1679</v>
      </c>
      <c r="F92" s="225" t="s">
        <v>256</v>
      </c>
      <c r="G92" s="225" t="s">
        <v>256</v>
      </c>
      <c r="H92" s="225" t="s">
        <v>256</v>
      </c>
      <c r="I92" s="225" t="s">
        <v>256</v>
      </c>
      <c r="J92" s="320" t="s">
        <v>1776</v>
      </c>
      <c r="K92" s="224" t="s">
        <v>1777</v>
      </c>
      <c r="L92" s="224" t="s">
        <v>1673</v>
      </c>
      <c r="M92" s="224" t="s">
        <v>1674</v>
      </c>
      <c r="N92" s="224" t="s">
        <v>1674</v>
      </c>
      <c r="O92" s="320" t="s">
        <v>1778</v>
      </c>
      <c r="P92" s="226" t="s">
        <v>256</v>
      </c>
      <c r="Q92" s="374">
        <v>7145</v>
      </c>
      <c r="R92" s="323" t="s">
        <v>1673</v>
      </c>
      <c r="S92" s="324" t="str">
        <f t="shared" si="6"/>
        <v>acceptable</v>
      </c>
      <c r="T92" s="325" t="str">
        <f t="shared" si="7"/>
        <v>acceptable</v>
      </c>
      <c r="U92" s="228" t="s">
        <v>1673</v>
      </c>
      <c r="V92" s="228" t="s">
        <v>1673</v>
      </c>
      <c r="W92" s="228" t="s">
        <v>1673</v>
      </c>
      <c r="X92" s="229" t="s">
        <v>1673</v>
      </c>
      <c r="Y92" s="288" t="str">
        <f t="shared" si="8"/>
        <v>non</v>
      </c>
      <c r="Z92" s="328" t="str">
        <f t="shared" si="9"/>
        <v>moyen</v>
      </c>
      <c r="AA92" s="9"/>
      <c r="AB92" s="1"/>
      <c r="AC92" s="190">
        <f>_xlfn.XLOOKUP(E92&amp;F92&amp;G92&amp;H92&amp;I92&amp;J92&amp;K92&amp;L92&amp;M92&amp;N92&amp;O92&amp;P92,'[2]2.4 wsLookup'!$M$2:$M$96,'[2]2.4 wsLookup'!$N$2:$N$96,"Introuvable")</f>
        <v>9.59E-4</v>
      </c>
      <c r="AD92" s="190">
        <f>_xlfn.XLOOKUP(E92&amp;F92&amp;G92&amp;H92&amp;I92&amp;J92&amp;K92&amp;L92&amp;M92&amp;N92&amp;O92&amp;P92,'[2]2.4 wsLookup'!$M$2:$M$96,'[2]2.4 wsLookup'!$O$2:$O$96,"Introuvable")</f>
        <v>0.85</v>
      </c>
      <c r="AE92" s="90">
        <f t="shared" si="11"/>
        <v>1.8101747611322747</v>
      </c>
      <c r="AF92" s="206">
        <f>_xlfn.XLOOKUP(E92&amp;F92&amp;G92&amp;H92&amp;I92&amp;J92&amp;K92&amp;L92&amp;M92&amp;N92&amp;O92&amp;P92,'[2]2.4 wsLookup'!$M$2:$M$96,'[2]2.4 wsLookup'!$Q$2:$Q$96,"Introuvable")</f>
        <v>1.6401708719887149</v>
      </c>
      <c r="AG92" s="91">
        <f>_xlfn.XLOOKUP(E92&amp;F92&amp;G92&amp;H92&amp;I92&amp;J92&amp;K92&amp;L92&amp;M92&amp;N92&amp;O92&amp;P92,'[2]2.4 wsLookup'!$M$2:$M$96,'[2]2.4 wsLookup'!$P$2:$P$96,"Introuvable")</f>
        <v>5.0999999999999997E-2</v>
      </c>
      <c r="AH92" s="91">
        <f>_xlfn.XLOOKUP(E92&amp;F92&amp;G92&amp;H92&amp;I92&amp;J92&amp;K92&amp;L92&amp;M92&amp;N92&amp;O92&amp;P92,'[2]2.4 wsLookup'!$M$2:$M$96,'[2]2.4 wsLookup'!$R$2:$R$96,"Introuvable")</f>
        <v>6.6000000000000003E-2</v>
      </c>
      <c r="AI92" s="193">
        <f>_xlfn.XLOOKUP(E92&amp;F92&amp;G92&amp;H92&amp;I92&amp;J92&amp;K92&amp;L92&amp;M92&amp;N92&amp;O92&amp;P92,'[2]2.4 wsLookup'!$M$2:$M$96,'[2]2.4 wsLookup'!$S$2:$S$96,"Introuvable")</f>
        <v>9000</v>
      </c>
      <c r="AK92" t="str">
        <f t="shared" si="10"/>
        <v>en localité|-|-|-|-|Route Principale|Circulation mixte|non|oui|oui|Sans|-</v>
      </c>
      <c r="AO92" t="s">
        <v>1779</v>
      </c>
    </row>
    <row r="93" spans="1:41" ht="39" customHeight="1">
      <c r="A93" s="1"/>
      <c r="B93" s="1"/>
      <c r="C93" s="188" t="s">
        <v>1795</v>
      </c>
      <c r="D93" s="224" t="s">
        <v>1678</v>
      </c>
      <c r="E93" s="225" t="s">
        <v>1679</v>
      </c>
      <c r="F93" s="225" t="s">
        <v>256</v>
      </c>
      <c r="G93" s="225" t="s">
        <v>256</v>
      </c>
      <c r="H93" s="225" t="s">
        <v>256</v>
      </c>
      <c r="I93" s="225" t="s">
        <v>256</v>
      </c>
      <c r="J93" s="320" t="s">
        <v>1776</v>
      </c>
      <c r="K93" s="224" t="s">
        <v>1777</v>
      </c>
      <c r="L93" s="224" t="s">
        <v>1674</v>
      </c>
      <c r="M93" s="224" t="s">
        <v>1674</v>
      </c>
      <c r="N93" s="224" t="s">
        <v>1674</v>
      </c>
      <c r="O93" s="320" t="s">
        <v>1778</v>
      </c>
      <c r="P93" s="226" t="s">
        <v>256</v>
      </c>
      <c r="Q93" s="374">
        <v>8256</v>
      </c>
      <c r="R93" s="323" t="s">
        <v>1673</v>
      </c>
      <c r="S93" s="324" t="str">
        <f t="shared" si="6"/>
        <v>acceptable</v>
      </c>
      <c r="T93" s="325" t="str">
        <f t="shared" si="7"/>
        <v>instable</v>
      </c>
      <c r="U93" s="228" t="s">
        <v>1673</v>
      </c>
      <c r="V93" s="228" t="s">
        <v>1673</v>
      </c>
      <c r="W93" s="228" t="s">
        <v>1673</v>
      </c>
      <c r="X93" s="229" t="s">
        <v>1673</v>
      </c>
      <c r="Y93" s="288" t="str">
        <f t="shared" si="8"/>
        <v>non</v>
      </c>
      <c r="Z93" s="328" t="str">
        <f t="shared" si="9"/>
        <v>élevé</v>
      </c>
      <c r="AA93" s="9"/>
      <c r="AB93" s="1"/>
      <c r="AC93" s="190">
        <f>_xlfn.XLOOKUP(E93&amp;F93&amp;G93&amp;H93&amp;I93&amp;J93&amp;K93&amp;L93&amp;M93&amp;N93&amp;O93&amp;P93,'[2]2.4 wsLookup'!$M$2:$M$96,'[2]2.4 wsLookup'!$N$2:$N$96,"Introuvable")</f>
        <v>1.32E-3</v>
      </c>
      <c r="AD93" s="190">
        <f>_xlfn.XLOOKUP(E93&amp;F93&amp;G93&amp;H93&amp;I93&amp;J93&amp;K93&amp;L93&amp;M93&amp;N93&amp;O93&amp;P93,'[2]2.4 wsLookup'!$M$2:$M$96,'[2]2.4 wsLookup'!$O$2:$O$96,"Introuvable")</f>
        <v>0.85</v>
      </c>
      <c r="AE93" s="90">
        <f t="shared" si="11"/>
        <v>2.8172680032117934</v>
      </c>
      <c r="AF93" s="206">
        <f>_xlfn.XLOOKUP(E93&amp;F93&amp;G93&amp;H93&amp;I93&amp;J93&amp;K93&amp;L93&amp;M93&amp;N93&amp;O93&amp;P93,'[2]2.4 wsLookup'!$M$2:$M$96,'[2]2.4 wsLookup'!$Q$2:$Q$96,"Introuvable")</f>
        <v>1.6401708719887149</v>
      </c>
      <c r="AG93" s="91">
        <f>_xlfn.XLOOKUP(E93&amp;F93&amp;G93&amp;H93&amp;I93&amp;J93&amp;K93&amp;L93&amp;M93&amp;N93&amp;O93&amp;P93,'[2]2.4 wsLookup'!$M$2:$M$96,'[2]2.4 wsLookup'!$P$2:$P$96,"Introuvable")</f>
        <v>6.3E-2</v>
      </c>
      <c r="AH93" s="91">
        <f>_xlfn.XLOOKUP(E93&amp;F93&amp;G93&amp;H93&amp;I93&amp;J93&amp;K93&amp;L93&amp;M93&amp;N93&amp;O93&amp;P93,'[2]2.4 wsLookup'!$M$2:$M$96,'[2]2.4 wsLookup'!$R$2:$R$96,"Introuvable")</f>
        <v>6.6000000000000003E-2</v>
      </c>
      <c r="AI93" s="193">
        <f>_xlfn.XLOOKUP(E93&amp;F93&amp;G93&amp;H93&amp;I93&amp;J93&amp;K93&amp;L93&amp;M93&amp;N93&amp;O93&amp;P93,'[2]2.4 wsLookup'!$M$2:$M$96,'[2]2.4 wsLookup'!$S$2:$S$96,"Introuvable")</f>
        <v>6000</v>
      </c>
      <c r="AK93" t="str">
        <f t="shared" si="10"/>
        <v>en localité|-|-|-|-|Route Principale|Circulation mixte|oui|oui|oui|Sans|-</v>
      </c>
      <c r="AO93" t="s">
        <v>1796</v>
      </c>
    </row>
    <row r="94" spans="1:41" ht="39" customHeight="1">
      <c r="A94" s="1"/>
      <c r="B94" s="1"/>
      <c r="C94" s="188" t="s">
        <v>1797</v>
      </c>
      <c r="D94" s="224" t="s">
        <v>1678</v>
      </c>
      <c r="E94" s="225" t="s">
        <v>1679</v>
      </c>
      <c r="F94" s="225" t="s">
        <v>256</v>
      </c>
      <c r="G94" s="225" t="s">
        <v>256</v>
      </c>
      <c r="H94" s="225" t="s">
        <v>256</v>
      </c>
      <c r="I94" s="225" t="s">
        <v>256</v>
      </c>
      <c r="J94" s="320" t="s">
        <v>1776</v>
      </c>
      <c r="K94" s="224" t="s">
        <v>1777</v>
      </c>
      <c r="L94" s="224" t="s">
        <v>1674</v>
      </c>
      <c r="M94" s="224" t="s">
        <v>1674</v>
      </c>
      <c r="N94" s="224" t="s">
        <v>1674</v>
      </c>
      <c r="O94" s="320" t="s">
        <v>1778</v>
      </c>
      <c r="P94" s="226" t="s">
        <v>256</v>
      </c>
      <c r="Q94" s="374">
        <v>8256</v>
      </c>
      <c r="R94" s="323" t="s">
        <v>1673</v>
      </c>
      <c r="S94" s="324" t="str">
        <f t="shared" si="6"/>
        <v>acceptable</v>
      </c>
      <c r="T94" s="325" t="str">
        <f t="shared" si="7"/>
        <v>instable</v>
      </c>
      <c r="U94" s="228" t="s">
        <v>1673</v>
      </c>
      <c r="V94" s="228" t="s">
        <v>1673</v>
      </c>
      <c r="W94" s="228" t="s">
        <v>1673</v>
      </c>
      <c r="X94" s="229" t="s">
        <v>1673</v>
      </c>
      <c r="Y94" s="288" t="str">
        <f t="shared" si="8"/>
        <v>non</v>
      </c>
      <c r="Z94" s="328" t="str">
        <f t="shared" si="9"/>
        <v>élevé</v>
      </c>
      <c r="AA94" s="9"/>
      <c r="AB94" s="1"/>
      <c r="AC94" s="190">
        <f>_xlfn.XLOOKUP(E94&amp;F94&amp;G94&amp;H94&amp;I94&amp;J94&amp;K94&amp;L94&amp;M94&amp;N94&amp;O94&amp;P94,'[2]2.4 wsLookup'!$M$2:$M$96,'[2]2.4 wsLookup'!$N$2:$N$96,"Introuvable")</f>
        <v>1.32E-3</v>
      </c>
      <c r="AD94" s="190">
        <f>_xlfn.XLOOKUP(E94&amp;F94&amp;G94&amp;H94&amp;I94&amp;J94&amp;K94&amp;L94&amp;M94&amp;N94&amp;O94&amp;P94,'[2]2.4 wsLookup'!$M$2:$M$96,'[2]2.4 wsLookup'!$O$2:$O$96,"Introuvable")</f>
        <v>0.85</v>
      </c>
      <c r="AE94" s="90">
        <f t="shared" si="11"/>
        <v>2.8172680032117934</v>
      </c>
      <c r="AF94" s="206">
        <f>_xlfn.XLOOKUP(E94&amp;F94&amp;G94&amp;H94&amp;I94&amp;J94&amp;K94&amp;L94&amp;M94&amp;N94&amp;O94&amp;P94,'[2]2.4 wsLookup'!$M$2:$M$96,'[2]2.4 wsLookup'!$Q$2:$Q$96,"Introuvable")</f>
        <v>1.6401708719887149</v>
      </c>
      <c r="AG94" s="91">
        <f>_xlfn.XLOOKUP(E94&amp;F94&amp;G94&amp;H94&amp;I94&amp;J94&amp;K94&amp;L94&amp;M94&amp;N94&amp;O94&amp;P94,'[2]2.4 wsLookup'!$M$2:$M$96,'[2]2.4 wsLookup'!$P$2:$P$96,"Introuvable")</f>
        <v>6.3E-2</v>
      </c>
      <c r="AH94" s="91">
        <f>_xlfn.XLOOKUP(E94&amp;F94&amp;G94&amp;H94&amp;I94&amp;J94&amp;K94&amp;L94&amp;M94&amp;N94&amp;O94&amp;P94,'[2]2.4 wsLookup'!$M$2:$M$96,'[2]2.4 wsLookup'!$R$2:$R$96,"Introuvable")</f>
        <v>6.6000000000000003E-2</v>
      </c>
      <c r="AI94" s="193">
        <f>_xlfn.XLOOKUP(E94&amp;F94&amp;G94&amp;H94&amp;I94&amp;J94&amp;K94&amp;L94&amp;M94&amp;N94&amp;O94&amp;P94,'[2]2.4 wsLookup'!$M$2:$M$96,'[2]2.4 wsLookup'!$S$2:$S$96,"Introuvable")</f>
        <v>6000</v>
      </c>
      <c r="AK94" t="str">
        <f t="shared" si="10"/>
        <v>en localité|-|-|-|-|Route Principale|Circulation mixte|oui|oui|oui|Sans|-</v>
      </c>
      <c r="AO94" t="s">
        <v>1796</v>
      </c>
    </row>
    <row r="95" spans="1:41" ht="39" customHeight="1">
      <c r="A95" s="1"/>
      <c r="B95" s="1"/>
      <c r="C95" s="188" t="s">
        <v>1798</v>
      </c>
      <c r="D95" s="224" t="s">
        <v>1678</v>
      </c>
      <c r="E95" s="225" t="s">
        <v>1679</v>
      </c>
      <c r="F95" s="225" t="s">
        <v>256</v>
      </c>
      <c r="G95" s="225" t="s">
        <v>256</v>
      </c>
      <c r="H95" s="225" t="s">
        <v>256</v>
      </c>
      <c r="I95" s="225" t="s">
        <v>256</v>
      </c>
      <c r="J95" s="320" t="s">
        <v>1776</v>
      </c>
      <c r="K95" s="224" t="s">
        <v>1777</v>
      </c>
      <c r="L95" s="224" t="s">
        <v>1673</v>
      </c>
      <c r="M95" s="224" t="s">
        <v>1673</v>
      </c>
      <c r="N95" s="224" t="s">
        <v>1674</v>
      </c>
      <c r="O95" s="320" t="s">
        <v>1799</v>
      </c>
      <c r="P95" s="226" t="s">
        <v>256</v>
      </c>
      <c r="Q95" s="374">
        <v>12322</v>
      </c>
      <c r="R95" s="323" t="s">
        <v>1673</v>
      </c>
      <c r="S95" s="324" t="str">
        <f t="shared" si="6"/>
        <v>sûr</v>
      </c>
      <c r="T95" s="325" t="str">
        <f t="shared" si="7"/>
        <v>fluide</v>
      </c>
      <c r="U95" s="228" t="s">
        <v>1673</v>
      </c>
      <c r="V95" s="228" t="s">
        <v>1673</v>
      </c>
      <c r="W95" s="228" t="s">
        <v>1673</v>
      </c>
      <c r="X95" s="229" t="s">
        <v>1673</v>
      </c>
      <c r="Y95" s="288" t="str">
        <f t="shared" si="8"/>
        <v>non</v>
      </c>
      <c r="Z95" s="328" t="str">
        <f t="shared" si="9"/>
        <v>faible</v>
      </c>
      <c r="AA95" s="9"/>
      <c r="AB95" s="1"/>
      <c r="AC95" s="190">
        <f>_xlfn.XLOOKUP(E95&amp;F95&amp;G95&amp;H95&amp;I95&amp;J95&amp;K95&amp;L95&amp;M95&amp;N95&amp;O95&amp;P95,'[2]2.4 wsLookup'!$M$2:$M$96,'[2]2.4 wsLookup'!$N$2:$N$96,"Introuvable")</f>
        <v>4.1900000000000005E-4</v>
      </c>
      <c r="AD95" s="190">
        <f>_xlfn.XLOOKUP(E95&amp;F95&amp;G95&amp;H95&amp;I95&amp;J95&amp;K95&amp;L95&amp;M95&amp;N95&amp;O95&amp;P95,'[2]2.4 wsLookup'!$M$2:$M$96,'[2]2.4 wsLookup'!$O$2:$O$96,"Introuvable")</f>
        <v>0.85</v>
      </c>
      <c r="AE95" s="90">
        <f t="shared" si="11"/>
        <v>1.2568777748706326</v>
      </c>
      <c r="AF95" s="206">
        <f>_xlfn.XLOOKUP(E95&amp;F95&amp;G95&amp;H95&amp;I95&amp;J95&amp;K95&amp;L95&amp;M95&amp;N95&amp;O95&amp;P95,'[2]2.4 wsLookup'!$M$2:$M$96,'[2]2.4 wsLookup'!$Q$2:$Q$96,"Introuvable")</f>
        <v>1.6401708719887149</v>
      </c>
      <c r="AG95" s="91">
        <f>_xlfn.XLOOKUP(E95&amp;F95&amp;G95&amp;H95&amp;I95&amp;J95&amp;K95&amp;L95&amp;M95&amp;N95&amp;O95&amp;P95,'[2]2.4 wsLookup'!$M$2:$M$96,'[2]2.4 wsLookup'!$P$2:$P$96,"Introuvable")</f>
        <v>6.6000000000000003E-2</v>
      </c>
      <c r="AH95" s="91">
        <f>_xlfn.XLOOKUP(E95&amp;F95&amp;G95&amp;H95&amp;I95&amp;J95&amp;K95&amp;L95&amp;M95&amp;N95&amp;O95&amp;P95,'[2]2.4 wsLookup'!$M$2:$M$96,'[2]2.4 wsLookup'!$R$2:$R$96,"Introuvable")</f>
        <v>6.6000000000000003E-2</v>
      </c>
      <c r="AI95" s="193">
        <f>_xlfn.XLOOKUP(E95&amp;F95&amp;G95&amp;H95&amp;I95&amp;J95&amp;K95&amp;L95&amp;M95&amp;N95&amp;O95&amp;P95,'[2]2.4 wsLookup'!$M$2:$M$96,'[2]2.4 wsLookup'!$S$2:$S$96,"Introuvable")</f>
        <v>20000</v>
      </c>
      <c r="AK95" t="str">
        <f t="shared" si="10"/>
        <v>en localité|-|-|-|-|Route Principale|Circulation mixte|non|non|oui|Piste cyclable|-</v>
      </c>
      <c r="AO95" t="s">
        <v>1789</v>
      </c>
    </row>
    <row r="96" spans="1:41" ht="39" customHeight="1">
      <c r="A96" s="1"/>
      <c r="B96" s="1"/>
      <c r="C96" s="188" t="s">
        <v>1800</v>
      </c>
      <c r="D96" s="224" t="s">
        <v>1678</v>
      </c>
      <c r="E96" s="225" t="s">
        <v>1679</v>
      </c>
      <c r="F96" s="225" t="s">
        <v>256</v>
      </c>
      <c r="G96" s="225" t="s">
        <v>256</v>
      </c>
      <c r="H96" s="225" t="s">
        <v>256</v>
      </c>
      <c r="I96" s="225" t="s">
        <v>256</v>
      </c>
      <c r="J96" s="320" t="s">
        <v>1776</v>
      </c>
      <c r="K96" s="224" t="s">
        <v>1777</v>
      </c>
      <c r="L96" s="224" t="s">
        <v>1673</v>
      </c>
      <c r="M96" s="224" t="s">
        <v>1674</v>
      </c>
      <c r="N96" s="224" t="s">
        <v>1674</v>
      </c>
      <c r="O96" s="320" t="s">
        <v>1781</v>
      </c>
      <c r="P96" s="226" t="s">
        <v>256</v>
      </c>
      <c r="Q96" s="374">
        <v>13120</v>
      </c>
      <c r="R96" s="323" t="s">
        <v>1673</v>
      </c>
      <c r="S96" s="324" t="str">
        <f t="shared" si="6"/>
        <v>acceptable</v>
      </c>
      <c r="T96" s="325" t="str">
        <f t="shared" si="7"/>
        <v>instable</v>
      </c>
      <c r="U96" s="228" t="s">
        <v>1673</v>
      </c>
      <c r="V96" s="228" t="s">
        <v>1673</v>
      </c>
      <c r="W96" s="228" t="s">
        <v>1673</v>
      </c>
      <c r="X96" s="229" t="s">
        <v>1673</v>
      </c>
      <c r="Y96" s="288" t="str">
        <f t="shared" si="8"/>
        <v>non</v>
      </c>
      <c r="Z96" s="328" t="str">
        <f t="shared" si="9"/>
        <v>élevé</v>
      </c>
      <c r="AA96" s="9"/>
      <c r="AB96" s="1"/>
      <c r="AC96" s="190">
        <f>_xlfn.XLOOKUP(E96&amp;F96&amp;G96&amp;H96&amp;I96&amp;J96&amp;K96&amp;L96&amp;M96&amp;N96&amp;O96&amp;P96,'[2]2.4 wsLookup'!$M$2:$M$96,'[2]2.4 wsLookup'!$N$2:$N$96,"Introuvable")</f>
        <v>1.14E-3</v>
      </c>
      <c r="AD96" s="190">
        <f>_xlfn.XLOOKUP(E96&amp;F96&amp;G96&amp;H96&amp;I96&amp;J96&amp;K96&amp;L96&amp;M96&amp;N96&amp;O96&amp;P96,'[2]2.4 wsLookup'!$M$2:$M$96,'[2]2.4 wsLookup'!$O$2:$O$96,"Introuvable")</f>
        <v>0.85</v>
      </c>
      <c r="AE96" s="90">
        <f t="shared" si="11"/>
        <v>3.6070205045051016</v>
      </c>
      <c r="AF96" s="206">
        <f>_xlfn.XLOOKUP(E96&amp;F96&amp;G96&amp;H96&amp;I96&amp;J96&amp;K96&amp;L96&amp;M96&amp;N96&amp;O96&amp;P96,'[2]2.4 wsLookup'!$M$2:$M$96,'[2]2.4 wsLookup'!$Q$2:$Q$96,"Introuvable")</f>
        <v>1.6401708719887149</v>
      </c>
      <c r="AG96" s="91">
        <f>_xlfn.XLOOKUP(E96&amp;F96&amp;G96&amp;H96&amp;I96&amp;J96&amp;K96&amp;L96&amp;M96&amp;N96&amp;O96&amp;P96,'[2]2.4 wsLookup'!$M$2:$M$96,'[2]2.4 wsLookup'!$P$2:$P$96,"Introuvable")</f>
        <v>6.6000000000000003E-2</v>
      </c>
      <c r="AH96" s="91">
        <f>_xlfn.XLOOKUP(E96&amp;F96&amp;G96&amp;H96&amp;I96&amp;J96&amp;K96&amp;L96&amp;M96&amp;N96&amp;O96&amp;P96,'[2]2.4 wsLookup'!$M$2:$M$96,'[2]2.4 wsLookup'!$R$2:$R$96,"Introuvable")</f>
        <v>6.6000000000000003E-2</v>
      </c>
      <c r="AI96" s="193">
        <f>_xlfn.XLOOKUP(E96&amp;F96&amp;G96&amp;H96&amp;I96&amp;J96&amp;K96&amp;L96&amp;M96&amp;N96&amp;O96&amp;P96,'[2]2.4 wsLookup'!$M$2:$M$96,'[2]2.4 wsLookup'!$S$2:$S$96,"Introuvable")</f>
        <v>6000</v>
      </c>
      <c r="AK96" t="str">
        <f t="shared" si="10"/>
        <v>en localité|-|-|-|-|Route Principale|Circulation mixte|non|oui|oui|Bande cyclable|-</v>
      </c>
      <c r="AO96" t="s">
        <v>1796</v>
      </c>
    </row>
    <row r="97" spans="1:41" ht="39" customHeight="1">
      <c r="A97" s="1"/>
      <c r="B97" s="1"/>
      <c r="C97" s="188" t="s">
        <v>1801</v>
      </c>
      <c r="D97" s="224" t="s">
        <v>1678</v>
      </c>
      <c r="E97" s="225" t="s">
        <v>1679</v>
      </c>
      <c r="F97" s="225" t="s">
        <v>256</v>
      </c>
      <c r="G97" s="225" t="s">
        <v>256</v>
      </c>
      <c r="H97" s="225" t="s">
        <v>256</v>
      </c>
      <c r="I97" s="225" t="s">
        <v>256</v>
      </c>
      <c r="J97" s="320" t="s">
        <v>1776</v>
      </c>
      <c r="K97" s="224" t="s">
        <v>1777</v>
      </c>
      <c r="L97" s="224" t="s">
        <v>1674</v>
      </c>
      <c r="M97" s="224" t="s">
        <v>1674</v>
      </c>
      <c r="N97" s="224" t="s">
        <v>1674</v>
      </c>
      <c r="O97" s="320" t="s">
        <v>1781</v>
      </c>
      <c r="P97" s="226" t="s">
        <v>256</v>
      </c>
      <c r="Q97" s="374">
        <v>8256</v>
      </c>
      <c r="R97" s="323" t="s">
        <v>1673</v>
      </c>
      <c r="S97" s="324" t="str">
        <f t="shared" si="6"/>
        <v>critique</v>
      </c>
      <c r="T97" s="325" t="str">
        <f t="shared" si="7"/>
        <v>instable</v>
      </c>
      <c r="U97" s="228" t="s">
        <v>1673</v>
      </c>
      <c r="V97" s="228" t="s">
        <v>1673</v>
      </c>
      <c r="W97" s="228" t="s">
        <v>1673</v>
      </c>
      <c r="X97" s="229" t="s">
        <v>1673</v>
      </c>
      <c r="Y97" s="288" t="str">
        <f t="shared" si="8"/>
        <v>non</v>
      </c>
      <c r="Z97" s="328" t="str">
        <f t="shared" si="9"/>
        <v>élevé</v>
      </c>
      <c r="AA97" s="9"/>
      <c r="AB97" s="1"/>
      <c r="AC97" s="190">
        <f>_xlfn.XLOOKUP(E97&amp;F97&amp;G97&amp;H97&amp;I97&amp;J97&amp;K97&amp;L97&amp;M97&amp;N97&amp;O97&amp;P97,'[2]2.4 wsLookup'!$M$2:$M$96,'[2]2.4 wsLookup'!$N$2:$N$96,"Introuvable")</f>
        <v>1.5600000000000002E-3</v>
      </c>
      <c r="AD97" s="190">
        <f>_xlfn.XLOOKUP(E97&amp;F97&amp;G97&amp;H97&amp;I97&amp;J97&amp;K97&amp;L97&amp;M97&amp;N97&amp;O97&amp;P97,'[2]2.4 wsLookup'!$M$2:$M$96,'[2]2.4 wsLookup'!$O$2:$O$96,"Introuvable")</f>
        <v>0.85</v>
      </c>
      <c r="AE97" s="90">
        <f t="shared" si="11"/>
        <v>3.3294985492503018</v>
      </c>
      <c r="AF97" s="206">
        <f>_xlfn.XLOOKUP(E97&amp;F97&amp;G97&amp;H97&amp;I97&amp;J97&amp;K97&amp;L97&amp;M97&amp;N97&amp;O97&amp;P97,'[2]2.4 wsLookup'!$M$2:$M$96,'[2]2.4 wsLookup'!$Q$2:$Q$96,"Introuvable")</f>
        <v>1.6401708719887149</v>
      </c>
      <c r="AG97" s="91">
        <f>_xlfn.XLOOKUP(E97&amp;F97&amp;G97&amp;H97&amp;I97&amp;J97&amp;K97&amp;L97&amp;M97&amp;N97&amp;O97&amp;P97,'[2]2.4 wsLookup'!$M$2:$M$96,'[2]2.4 wsLookup'!$P$2:$P$96,"Introuvable")</f>
        <v>7.0000000000000007E-2</v>
      </c>
      <c r="AH97" s="91">
        <f>_xlfn.XLOOKUP(E97&amp;F97&amp;G97&amp;H97&amp;I97&amp;J97&amp;K97&amp;L97&amp;M97&amp;N97&amp;O97&amp;P97,'[2]2.4 wsLookup'!$M$2:$M$96,'[2]2.4 wsLookup'!$R$2:$R$96,"Introuvable")</f>
        <v>6.6000000000000003E-2</v>
      </c>
      <c r="AI97" s="193">
        <f>_xlfn.XLOOKUP(E97&amp;F97&amp;G97&amp;H97&amp;I97&amp;J97&amp;K97&amp;L97&amp;M97&amp;N97&amp;O97&amp;P97,'[2]2.4 wsLookup'!$M$2:$M$96,'[2]2.4 wsLookup'!$S$2:$S$96,"Introuvable")</f>
        <v>4000</v>
      </c>
      <c r="AK97" t="str">
        <f t="shared" si="10"/>
        <v>en localité|-|-|-|-|Route Principale|Circulation mixte|oui|oui|oui|Bande cyclable|-</v>
      </c>
      <c r="AO97" t="s">
        <v>1802</v>
      </c>
    </row>
    <row r="98" spans="1:41" ht="39" customHeight="1">
      <c r="A98" s="1"/>
      <c r="B98" s="1"/>
      <c r="C98" s="188" t="s">
        <v>1803</v>
      </c>
      <c r="D98" s="224" t="s">
        <v>1678</v>
      </c>
      <c r="E98" s="225" t="s">
        <v>1705</v>
      </c>
      <c r="F98" s="225" t="s">
        <v>256</v>
      </c>
      <c r="G98" s="225" t="s">
        <v>256</v>
      </c>
      <c r="H98" s="225" t="s">
        <v>256</v>
      </c>
      <c r="I98" s="225" t="s">
        <v>256</v>
      </c>
      <c r="J98" s="320" t="s">
        <v>1776</v>
      </c>
      <c r="K98" s="224" t="s">
        <v>1777</v>
      </c>
      <c r="L98" s="224" t="s">
        <v>1673</v>
      </c>
      <c r="M98" s="224" t="s">
        <v>256</v>
      </c>
      <c r="N98" s="224" t="s">
        <v>256</v>
      </c>
      <c r="O98" s="320" t="s">
        <v>1799</v>
      </c>
      <c r="P98" s="226" t="s">
        <v>256</v>
      </c>
      <c r="Q98" s="374">
        <v>12322</v>
      </c>
      <c r="R98" s="323" t="s">
        <v>1673</v>
      </c>
      <c r="S98" s="324" t="str">
        <f t="shared" si="6"/>
        <v>sûr</v>
      </c>
      <c r="T98" s="325" t="str">
        <f t="shared" si="7"/>
        <v>fluide</v>
      </c>
      <c r="U98" s="228" t="s">
        <v>1673</v>
      </c>
      <c r="V98" s="228" t="s">
        <v>1673</v>
      </c>
      <c r="W98" s="228" t="s">
        <v>1673</v>
      </c>
      <c r="X98" s="229" t="s">
        <v>1673</v>
      </c>
      <c r="Y98" s="288" t="str">
        <f t="shared" si="8"/>
        <v>non</v>
      </c>
      <c r="Z98" s="328" t="str">
        <f t="shared" si="9"/>
        <v>faible</v>
      </c>
      <c r="AA98" s="9"/>
      <c r="AB98" s="1"/>
      <c r="AC98" s="190">
        <f>_xlfn.XLOOKUP(E98&amp;F98&amp;G98&amp;H98&amp;I98&amp;J98&amp;K98&amp;L98&amp;M98&amp;N98&amp;O98&amp;P98,'[2]2.4 wsLookup'!$M$2:$M$96,'[2]2.4 wsLookup'!$N$2:$N$96,"Introuvable")</f>
        <v>1.8100000000000002E-3</v>
      </c>
      <c r="AD98" s="190">
        <f>_xlfn.XLOOKUP(E98&amp;F98&amp;G98&amp;H98&amp;I98&amp;J98&amp;K98&amp;L98&amp;M98&amp;N98&amp;O98&amp;P98,'[2]2.4 wsLookup'!$M$2:$M$96,'[2]2.4 wsLookup'!$O$2:$O$96,"Introuvable")</f>
        <v>0.61</v>
      </c>
      <c r="AE98" s="90">
        <f t="shared" si="11"/>
        <v>0.566231609088096</v>
      </c>
      <c r="AF98" s="206">
        <f>_xlfn.XLOOKUP(E98&amp;F98&amp;G98&amp;H98&amp;I98&amp;J98&amp;K98&amp;L98&amp;M98&amp;N98&amp;O98&amp;P98,'[2]2.4 wsLookup'!$M$2:$M$96,'[2]2.4 wsLookup'!$Q$2:$Q$96,"Introuvable")</f>
        <v>0.76086371289166055</v>
      </c>
      <c r="AG98" s="91">
        <f>_xlfn.XLOOKUP(E98&amp;F98&amp;G98&amp;H98&amp;I98&amp;J98&amp;K98&amp;L98&amp;M98&amp;N98&amp;O98&amp;P98,'[2]2.4 wsLookup'!$M$2:$M$96,'[2]2.4 wsLookup'!$P$2:$P$96,"Introuvable")</f>
        <v>6.7000000000000004E-2</v>
      </c>
      <c r="AH98" s="91">
        <f>_xlfn.XLOOKUP(E98&amp;F98&amp;G98&amp;H98&amp;I98&amp;J98&amp;K98&amp;L98&amp;M98&amp;N98&amp;O98&amp;P98,'[2]2.4 wsLookup'!$M$2:$M$96,'[2]2.4 wsLookup'!$R$2:$R$96,"Introuvable")</f>
        <v>6.8499999999999991E-2</v>
      </c>
      <c r="AI98" s="193">
        <f>_xlfn.XLOOKUP(E98&amp;F98&amp;G98&amp;H98&amp;I98&amp;J98&amp;K98&amp;L98&amp;M98&amp;N98&amp;O98&amp;P98,'[2]2.4 wsLookup'!$M$2:$M$96,'[2]2.4 wsLookup'!$S$2:$S$96,"Introuvable")</f>
        <v>20000</v>
      </c>
      <c r="AK98" t="str">
        <f t="shared" si="10"/>
        <v>hors localité|-|-|-|-|Route Principale|Circulation mixte|non|-|-|Piste cyclable|-</v>
      </c>
      <c r="AO98" t="s">
        <v>1804</v>
      </c>
    </row>
    <row r="99" spans="1:41" ht="39" customHeight="1">
      <c r="A99" s="1"/>
      <c r="B99" s="1"/>
      <c r="C99" s="188" t="s">
        <v>1805</v>
      </c>
      <c r="D99" s="224" t="s">
        <v>1678</v>
      </c>
      <c r="E99" s="225" t="s">
        <v>1679</v>
      </c>
      <c r="F99" s="225" t="s">
        <v>256</v>
      </c>
      <c r="G99" s="225" t="s">
        <v>256</v>
      </c>
      <c r="H99" s="225" t="s">
        <v>256</v>
      </c>
      <c r="I99" s="225" t="s">
        <v>256</v>
      </c>
      <c r="J99" s="320" t="s">
        <v>1776</v>
      </c>
      <c r="K99" s="224" t="s">
        <v>1777</v>
      </c>
      <c r="L99" s="224" t="s">
        <v>1673</v>
      </c>
      <c r="M99" s="224" t="s">
        <v>1673</v>
      </c>
      <c r="N99" s="224" t="s">
        <v>1674</v>
      </c>
      <c r="O99" s="320" t="s">
        <v>1799</v>
      </c>
      <c r="P99" s="226" t="s">
        <v>256</v>
      </c>
      <c r="Q99" s="374">
        <v>12322</v>
      </c>
      <c r="R99" s="323" t="s">
        <v>1673</v>
      </c>
      <c r="S99" s="324" t="str">
        <f t="shared" si="6"/>
        <v>sûr</v>
      </c>
      <c r="T99" s="325" t="str">
        <f t="shared" si="7"/>
        <v>fluide</v>
      </c>
      <c r="U99" s="228" t="s">
        <v>1673</v>
      </c>
      <c r="V99" s="228" t="s">
        <v>1673</v>
      </c>
      <c r="W99" s="228" t="s">
        <v>1673</v>
      </c>
      <c r="X99" s="229" t="s">
        <v>1673</v>
      </c>
      <c r="Y99" s="288" t="str">
        <f t="shared" si="8"/>
        <v>non</v>
      </c>
      <c r="Z99" s="328" t="str">
        <f t="shared" si="9"/>
        <v>faible</v>
      </c>
      <c r="AA99" s="9"/>
      <c r="AB99" s="1"/>
      <c r="AC99" s="190">
        <f>_xlfn.XLOOKUP(E99&amp;F99&amp;G99&amp;H99&amp;I99&amp;J99&amp;K99&amp;L99&amp;M99&amp;N99&amp;O99&amp;P99,'[2]2.4 wsLookup'!$M$2:$M$96,'[2]2.4 wsLookup'!$N$2:$N$96,"Introuvable")</f>
        <v>4.1900000000000005E-4</v>
      </c>
      <c r="AD99" s="190">
        <f>_xlfn.XLOOKUP(E99&amp;F99&amp;G99&amp;H99&amp;I99&amp;J99&amp;K99&amp;L99&amp;M99&amp;N99&amp;O99&amp;P99,'[2]2.4 wsLookup'!$M$2:$M$96,'[2]2.4 wsLookup'!$O$2:$O$96,"Introuvable")</f>
        <v>0.85</v>
      </c>
      <c r="AE99" s="90">
        <f t="shared" si="11"/>
        <v>1.2568777748706326</v>
      </c>
      <c r="AF99" s="206">
        <f>_xlfn.XLOOKUP(E99&amp;F99&amp;G99&amp;H99&amp;I99&amp;J99&amp;K99&amp;L99&amp;M99&amp;N99&amp;O99&amp;P99,'[2]2.4 wsLookup'!$M$2:$M$96,'[2]2.4 wsLookup'!$Q$2:$Q$96,"Introuvable")</f>
        <v>1.6401708719887149</v>
      </c>
      <c r="AG99" s="91">
        <f>_xlfn.XLOOKUP(E99&amp;F99&amp;G99&amp;H99&amp;I99&amp;J99&amp;K99&amp;L99&amp;M99&amp;N99&amp;O99&amp;P99,'[2]2.4 wsLookup'!$M$2:$M$96,'[2]2.4 wsLookup'!$P$2:$P$96,"Introuvable")</f>
        <v>6.6000000000000003E-2</v>
      </c>
      <c r="AH99" s="91">
        <f>_xlfn.XLOOKUP(E99&amp;F99&amp;G99&amp;H99&amp;I99&amp;J99&amp;K99&amp;L99&amp;M99&amp;N99&amp;O99&amp;P99,'[2]2.4 wsLookup'!$M$2:$M$96,'[2]2.4 wsLookup'!$R$2:$R$96,"Introuvable")</f>
        <v>6.6000000000000003E-2</v>
      </c>
      <c r="AI99" s="193">
        <f>_xlfn.XLOOKUP(E99&amp;F99&amp;G99&amp;H99&amp;I99&amp;J99&amp;K99&amp;L99&amp;M99&amp;N99&amp;O99&amp;P99,'[2]2.4 wsLookup'!$M$2:$M$96,'[2]2.4 wsLookup'!$S$2:$S$96,"Introuvable")</f>
        <v>20000</v>
      </c>
      <c r="AK99" t="str">
        <f t="shared" si="10"/>
        <v>en localité|-|-|-|-|Route Principale|Circulation mixte|non|non|oui|Piste cyclable|-</v>
      </c>
      <c r="AO99" t="s">
        <v>1789</v>
      </c>
    </row>
    <row r="100" spans="1:41" ht="39" customHeight="1">
      <c r="A100" s="1"/>
      <c r="B100" s="1"/>
      <c r="C100" s="188" t="s">
        <v>1806</v>
      </c>
      <c r="D100" s="224" t="s">
        <v>1678</v>
      </c>
      <c r="E100" s="225" t="s">
        <v>1679</v>
      </c>
      <c r="F100" s="225" t="s">
        <v>256</v>
      </c>
      <c r="G100" s="225" t="s">
        <v>256</v>
      </c>
      <c r="H100" s="225" t="s">
        <v>256</v>
      </c>
      <c r="I100" s="225" t="s">
        <v>256</v>
      </c>
      <c r="J100" s="320" t="s">
        <v>1776</v>
      </c>
      <c r="K100" s="224" t="s">
        <v>1777</v>
      </c>
      <c r="L100" s="224" t="s">
        <v>1673</v>
      </c>
      <c r="M100" s="224" t="s">
        <v>1674</v>
      </c>
      <c r="N100" s="224" t="s">
        <v>1674</v>
      </c>
      <c r="O100" s="320" t="s">
        <v>1781</v>
      </c>
      <c r="P100" s="226" t="s">
        <v>256</v>
      </c>
      <c r="Q100" s="374">
        <v>13120</v>
      </c>
      <c r="R100" s="323" t="s">
        <v>1673</v>
      </c>
      <c r="S100" s="324" t="str">
        <f t="shared" si="6"/>
        <v>acceptable</v>
      </c>
      <c r="T100" s="325" t="str">
        <f t="shared" si="7"/>
        <v>instable</v>
      </c>
      <c r="U100" s="228" t="s">
        <v>1673</v>
      </c>
      <c r="V100" s="228" t="s">
        <v>1673</v>
      </c>
      <c r="W100" s="228" t="s">
        <v>1674</v>
      </c>
      <c r="X100" s="229" t="s">
        <v>1673</v>
      </c>
      <c r="Y100" s="288" t="str">
        <f t="shared" si="8"/>
        <v>oui</v>
      </c>
      <c r="Z100" s="328" t="str">
        <f t="shared" si="9"/>
        <v>élevé</v>
      </c>
      <c r="AA100" s="9"/>
      <c r="AB100" s="1"/>
      <c r="AC100" s="190">
        <f>_xlfn.XLOOKUP(E100&amp;F100&amp;G100&amp;H100&amp;I100&amp;J100&amp;K100&amp;L100&amp;M100&amp;N100&amp;O100&amp;P100,'[2]2.4 wsLookup'!$M$2:$M$96,'[2]2.4 wsLookup'!$N$2:$N$96,"Introuvable")</f>
        <v>1.14E-3</v>
      </c>
      <c r="AD100" s="190">
        <f>_xlfn.XLOOKUP(E100&amp;F100&amp;G100&amp;H100&amp;I100&amp;J100&amp;K100&amp;L100&amp;M100&amp;N100&amp;O100&amp;P100,'[2]2.4 wsLookup'!$M$2:$M$96,'[2]2.4 wsLookup'!$O$2:$O$96,"Introuvable")</f>
        <v>0.85</v>
      </c>
      <c r="AE100" s="90">
        <f t="shared" si="11"/>
        <v>3.6070205045051016</v>
      </c>
      <c r="AF100" s="206">
        <f>_xlfn.XLOOKUP(E100&amp;F100&amp;G100&amp;H100&amp;I100&amp;J100&amp;K100&amp;L100&amp;M100&amp;N100&amp;O100&amp;P100,'[2]2.4 wsLookup'!$M$2:$M$96,'[2]2.4 wsLookup'!$Q$2:$Q$96,"Introuvable")</f>
        <v>1.6401708719887149</v>
      </c>
      <c r="AG100" s="91">
        <f>_xlfn.XLOOKUP(E100&amp;F100&amp;G100&amp;H100&amp;I100&amp;J100&amp;K100&amp;L100&amp;M100&amp;N100&amp;O100&amp;P100,'[2]2.4 wsLookup'!$M$2:$M$96,'[2]2.4 wsLookup'!$P$2:$P$96,"Introuvable")</f>
        <v>6.6000000000000003E-2</v>
      </c>
      <c r="AH100" s="91">
        <f>_xlfn.XLOOKUP(E100&amp;F100&amp;G100&amp;H100&amp;I100&amp;J100&amp;K100&amp;L100&amp;M100&amp;N100&amp;O100&amp;P100,'[2]2.4 wsLookup'!$M$2:$M$96,'[2]2.4 wsLookup'!$R$2:$R$96,"Introuvable")</f>
        <v>6.6000000000000003E-2</v>
      </c>
      <c r="AI100" s="193">
        <f>_xlfn.XLOOKUP(E100&amp;F100&amp;G100&amp;H100&amp;I100&amp;J100&amp;K100&amp;L100&amp;M100&amp;N100&amp;O100&amp;P100,'[2]2.4 wsLookup'!$M$2:$M$96,'[2]2.4 wsLookup'!$S$2:$S$96,"Introuvable")</f>
        <v>6000</v>
      </c>
      <c r="AK100" t="str">
        <f t="shared" si="10"/>
        <v>en localité|-|-|-|-|Route Principale|Circulation mixte|non|oui|oui|Bande cyclable|-</v>
      </c>
      <c r="AO100" t="s">
        <v>1807</v>
      </c>
    </row>
    <row r="101" spans="1:41" ht="39" customHeight="1">
      <c r="A101" s="1"/>
      <c r="B101" s="1"/>
      <c r="C101" s="188" t="s">
        <v>1808</v>
      </c>
      <c r="D101" s="224" t="s">
        <v>1678</v>
      </c>
      <c r="E101" s="225" t="s">
        <v>1679</v>
      </c>
      <c r="F101" s="225" t="s">
        <v>256</v>
      </c>
      <c r="G101" s="225" t="s">
        <v>256</v>
      </c>
      <c r="H101" s="225" t="s">
        <v>256</v>
      </c>
      <c r="I101" s="225" t="s">
        <v>256</v>
      </c>
      <c r="J101" s="320" t="s">
        <v>1776</v>
      </c>
      <c r="K101" s="224" t="s">
        <v>1777</v>
      </c>
      <c r="L101" s="224" t="s">
        <v>1673</v>
      </c>
      <c r="M101" s="224" t="s">
        <v>1673</v>
      </c>
      <c r="N101" s="224" t="s">
        <v>1674</v>
      </c>
      <c r="O101" s="320" t="s">
        <v>1799</v>
      </c>
      <c r="P101" s="226" t="s">
        <v>256</v>
      </c>
      <c r="Q101" s="374">
        <v>12322</v>
      </c>
      <c r="R101" s="323" t="s">
        <v>1673</v>
      </c>
      <c r="S101" s="324" t="str">
        <f t="shared" si="6"/>
        <v>sûr</v>
      </c>
      <c r="T101" s="325" t="str">
        <f t="shared" si="7"/>
        <v>fluide</v>
      </c>
      <c r="U101" s="228" t="s">
        <v>1673</v>
      </c>
      <c r="V101" s="228" t="s">
        <v>1673</v>
      </c>
      <c r="W101" s="228" t="s">
        <v>1673</v>
      </c>
      <c r="X101" s="229" t="s">
        <v>1673</v>
      </c>
      <c r="Y101" s="288" t="str">
        <f t="shared" si="8"/>
        <v>non</v>
      </c>
      <c r="Z101" s="328" t="str">
        <f t="shared" si="9"/>
        <v>faible</v>
      </c>
      <c r="AA101" s="9"/>
      <c r="AB101" s="1"/>
      <c r="AC101" s="190">
        <f>_xlfn.XLOOKUP(E101&amp;F101&amp;G101&amp;H101&amp;I101&amp;J101&amp;K101&amp;L101&amp;M101&amp;N101&amp;O101&amp;P101,'[2]2.4 wsLookup'!$M$2:$M$96,'[2]2.4 wsLookup'!$N$2:$N$96,"Introuvable")</f>
        <v>4.1900000000000005E-4</v>
      </c>
      <c r="AD101" s="190">
        <f>_xlfn.XLOOKUP(E101&amp;F101&amp;G101&amp;H101&amp;I101&amp;J101&amp;K101&amp;L101&amp;M101&amp;N101&amp;O101&amp;P101,'[2]2.4 wsLookup'!$M$2:$M$96,'[2]2.4 wsLookup'!$O$2:$O$96,"Introuvable")</f>
        <v>0.85</v>
      </c>
      <c r="AE101" s="90">
        <f t="shared" si="11"/>
        <v>1.2568777748706326</v>
      </c>
      <c r="AF101" s="206">
        <f>_xlfn.XLOOKUP(E101&amp;F101&amp;G101&amp;H101&amp;I101&amp;J101&amp;K101&amp;L101&amp;M101&amp;N101&amp;O101&amp;P101,'[2]2.4 wsLookup'!$M$2:$M$96,'[2]2.4 wsLookup'!$Q$2:$Q$96,"Introuvable")</f>
        <v>1.6401708719887149</v>
      </c>
      <c r="AG101" s="91">
        <f>_xlfn.XLOOKUP(E101&amp;F101&amp;G101&amp;H101&amp;I101&amp;J101&amp;K101&amp;L101&amp;M101&amp;N101&amp;O101&amp;P101,'[2]2.4 wsLookup'!$M$2:$M$96,'[2]2.4 wsLookup'!$P$2:$P$96,"Introuvable")</f>
        <v>6.6000000000000003E-2</v>
      </c>
      <c r="AH101" s="91">
        <f>_xlfn.XLOOKUP(E101&amp;F101&amp;G101&amp;H101&amp;I101&amp;J101&amp;K101&amp;L101&amp;M101&amp;N101&amp;O101&amp;P101,'[2]2.4 wsLookup'!$M$2:$M$96,'[2]2.4 wsLookup'!$R$2:$R$96,"Introuvable")</f>
        <v>6.6000000000000003E-2</v>
      </c>
      <c r="AI101" s="193">
        <f>_xlfn.XLOOKUP(E101&amp;F101&amp;G101&amp;H101&amp;I101&amp;J101&amp;K101&amp;L101&amp;M101&amp;N101&amp;O101&amp;P101,'[2]2.4 wsLookup'!$M$2:$M$96,'[2]2.4 wsLookup'!$S$2:$S$96,"Introuvable")</f>
        <v>20000</v>
      </c>
      <c r="AK101" t="str">
        <f t="shared" si="10"/>
        <v>en localité|-|-|-|-|Route Principale|Circulation mixte|non|non|oui|Piste cyclable|-</v>
      </c>
      <c r="AO101" t="s">
        <v>1789</v>
      </c>
    </row>
    <row r="102" spans="1:41" ht="39" customHeight="1">
      <c r="A102" s="1"/>
      <c r="B102" s="1"/>
      <c r="C102" s="188" t="s">
        <v>1809</v>
      </c>
      <c r="D102" s="224" t="s">
        <v>1678</v>
      </c>
      <c r="E102" s="225" t="s">
        <v>1679</v>
      </c>
      <c r="F102" s="225" t="s">
        <v>256</v>
      </c>
      <c r="G102" s="225" t="s">
        <v>256</v>
      </c>
      <c r="H102" s="225" t="s">
        <v>256</v>
      </c>
      <c r="I102" s="225" t="s">
        <v>256</v>
      </c>
      <c r="J102" s="320" t="s">
        <v>1776</v>
      </c>
      <c r="K102" s="224" t="s">
        <v>1777</v>
      </c>
      <c r="L102" s="224" t="s">
        <v>1673</v>
      </c>
      <c r="M102" s="224" t="s">
        <v>1674</v>
      </c>
      <c r="N102" s="224" t="s">
        <v>1674</v>
      </c>
      <c r="O102" s="320" t="s">
        <v>1781</v>
      </c>
      <c r="P102" s="226" t="s">
        <v>256</v>
      </c>
      <c r="Q102" s="374">
        <v>7145</v>
      </c>
      <c r="R102" s="323" t="s">
        <v>1673</v>
      </c>
      <c r="S102" s="324" t="str">
        <f t="shared" si="6"/>
        <v>acceptable</v>
      </c>
      <c r="T102" s="325" t="str">
        <f t="shared" si="7"/>
        <v>acceptable</v>
      </c>
      <c r="U102" s="228" t="s">
        <v>1673</v>
      </c>
      <c r="V102" s="228" t="s">
        <v>1674</v>
      </c>
      <c r="W102" s="228" t="s">
        <v>1673</v>
      </c>
      <c r="X102" s="229" t="s">
        <v>1673</v>
      </c>
      <c r="Y102" s="288" t="str">
        <f t="shared" si="8"/>
        <v>oui</v>
      </c>
      <c r="Z102" s="328" t="str">
        <f t="shared" si="9"/>
        <v>élevé</v>
      </c>
      <c r="AA102" s="9"/>
      <c r="AB102" s="1"/>
      <c r="AC102" s="190">
        <f>_xlfn.XLOOKUP(E102&amp;F102&amp;G102&amp;H102&amp;I102&amp;J102&amp;K102&amp;L102&amp;M102&amp;N102&amp;O102&amp;P102,'[2]2.4 wsLookup'!$M$2:$M$96,'[2]2.4 wsLookup'!$N$2:$N$96,"Introuvable")</f>
        <v>1.14E-3</v>
      </c>
      <c r="AD102" s="190">
        <f>_xlfn.XLOOKUP(E102&amp;F102&amp;G102&amp;H102&amp;I102&amp;J102&amp;K102&amp;L102&amp;M102&amp;N102&amp;O102&amp;P102,'[2]2.4 wsLookup'!$M$2:$M$96,'[2]2.4 wsLookup'!$O$2:$O$96,"Introuvable")</f>
        <v>0.85</v>
      </c>
      <c r="AE102" s="90">
        <f t="shared" si="11"/>
        <v>2.151824012190608</v>
      </c>
      <c r="AF102" s="206">
        <f>_xlfn.XLOOKUP(E102&amp;F102&amp;G102&amp;H102&amp;I102&amp;J102&amp;K102&amp;L102&amp;M102&amp;N102&amp;O102&amp;P102,'[2]2.4 wsLookup'!$M$2:$M$96,'[2]2.4 wsLookup'!$Q$2:$Q$96,"Introuvable")</f>
        <v>1.6401708719887149</v>
      </c>
      <c r="AG102" s="91">
        <f>_xlfn.XLOOKUP(E102&amp;F102&amp;G102&amp;H102&amp;I102&amp;J102&amp;K102&amp;L102&amp;M102&amp;N102&amp;O102&amp;P102,'[2]2.4 wsLookup'!$M$2:$M$96,'[2]2.4 wsLookup'!$P$2:$P$96,"Introuvable")</f>
        <v>6.6000000000000003E-2</v>
      </c>
      <c r="AH102" s="91">
        <f>_xlfn.XLOOKUP(E102&amp;F102&amp;G102&amp;H102&amp;I102&amp;J102&amp;K102&amp;L102&amp;M102&amp;N102&amp;O102&amp;P102,'[2]2.4 wsLookup'!$M$2:$M$96,'[2]2.4 wsLookup'!$R$2:$R$96,"Introuvable")</f>
        <v>6.6000000000000003E-2</v>
      </c>
      <c r="AI102" s="193">
        <f>_xlfn.XLOOKUP(E102&amp;F102&amp;G102&amp;H102&amp;I102&amp;J102&amp;K102&amp;L102&amp;M102&amp;N102&amp;O102&amp;P102,'[2]2.4 wsLookup'!$M$2:$M$96,'[2]2.4 wsLookup'!$S$2:$S$96,"Introuvable")</f>
        <v>6000</v>
      </c>
      <c r="AK102" t="str">
        <f t="shared" si="10"/>
        <v>en localité|-|-|-|-|Route Principale|Circulation mixte|non|oui|oui|Bande cyclable|-</v>
      </c>
      <c r="AO102" t="s">
        <v>1810</v>
      </c>
    </row>
    <row r="103" spans="1:41" ht="39" customHeight="1">
      <c r="A103" s="1"/>
      <c r="B103" s="1"/>
      <c r="C103" s="188" t="s">
        <v>1811</v>
      </c>
      <c r="D103" s="224" t="s">
        <v>1678</v>
      </c>
      <c r="E103" s="225" t="s">
        <v>1679</v>
      </c>
      <c r="F103" s="225" t="s">
        <v>256</v>
      </c>
      <c r="G103" s="225" t="s">
        <v>256</v>
      </c>
      <c r="H103" s="225" t="s">
        <v>256</v>
      </c>
      <c r="I103" s="225" t="s">
        <v>256</v>
      </c>
      <c r="J103" s="320" t="s">
        <v>1776</v>
      </c>
      <c r="K103" s="224" t="s">
        <v>1777</v>
      </c>
      <c r="L103" s="224" t="s">
        <v>1673</v>
      </c>
      <c r="M103" s="224" t="s">
        <v>1673</v>
      </c>
      <c r="N103" s="224" t="s">
        <v>1674</v>
      </c>
      <c r="O103" s="320" t="s">
        <v>1799</v>
      </c>
      <c r="P103" s="226" t="s">
        <v>256</v>
      </c>
      <c r="Q103" s="374">
        <v>12322</v>
      </c>
      <c r="R103" s="323" t="s">
        <v>1673</v>
      </c>
      <c r="S103" s="324" t="str">
        <f t="shared" si="6"/>
        <v>sûr</v>
      </c>
      <c r="T103" s="325" t="str">
        <f t="shared" si="7"/>
        <v>fluide</v>
      </c>
      <c r="U103" s="228" t="s">
        <v>1673</v>
      </c>
      <c r="V103" s="228" t="s">
        <v>1673</v>
      </c>
      <c r="W103" s="228" t="s">
        <v>1673</v>
      </c>
      <c r="X103" s="229" t="s">
        <v>1673</v>
      </c>
      <c r="Y103" s="288" t="str">
        <f t="shared" si="8"/>
        <v>non</v>
      </c>
      <c r="Z103" s="328" t="str">
        <f t="shared" si="9"/>
        <v>faible</v>
      </c>
      <c r="AA103" s="9"/>
      <c r="AB103" s="1"/>
      <c r="AC103" s="190">
        <f>_xlfn.XLOOKUP(E103&amp;F103&amp;G103&amp;H103&amp;I103&amp;J103&amp;K103&amp;L103&amp;M103&amp;N103&amp;O103&amp;P103,'[2]2.4 wsLookup'!$M$2:$M$96,'[2]2.4 wsLookup'!$N$2:$N$96,"Introuvable")</f>
        <v>4.1900000000000005E-4</v>
      </c>
      <c r="AD103" s="190">
        <f>_xlfn.XLOOKUP(E103&amp;F103&amp;G103&amp;H103&amp;I103&amp;J103&amp;K103&amp;L103&amp;M103&amp;N103&amp;O103&amp;P103,'[2]2.4 wsLookup'!$M$2:$M$96,'[2]2.4 wsLookup'!$O$2:$O$96,"Introuvable")</f>
        <v>0.85</v>
      </c>
      <c r="AE103" s="90">
        <f t="shared" si="11"/>
        <v>1.2568777748706326</v>
      </c>
      <c r="AF103" s="206">
        <f>_xlfn.XLOOKUP(E103&amp;F103&amp;G103&amp;H103&amp;I103&amp;J103&amp;K103&amp;L103&amp;M103&amp;N103&amp;O103&amp;P103,'[2]2.4 wsLookup'!$M$2:$M$96,'[2]2.4 wsLookup'!$Q$2:$Q$96,"Introuvable")</f>
        <v>1.6401708719887149</v>
      </c>
      <c r="AG103" s="91">
        <f>_xlfn.XLOOKUP(E103&amp;F103&amp;G103&amp;H103&amp;I103&amp;J103&amp;K103&amp;L103&amp;M103&amp;N103&amp;O103&amp;P103,'[2]2.4 wsLookup'!$M$2:$M$96,'[2]2.4 wsLookup'!$P$2:$P$96,"Introuvable")</f>
        <v>6.6000000000000003E-2</v>
      </c>
      <c r="AH103" s="91">
        <f>_xlfn.XLOOKUP(E103&amp;F103&amp;G103&amp;H103&amp;I103&amp;J103&amp;K103&amp;L103&amp;M103&amp;N103&amp;O103&amp;P103,'[2]2.4 wsLookup'!$M$2:$M$96,'[2]2.4 wsLookup'!$R$2:$R$96,"Introuvable")</f>
        <v>6.6000000000000003E-2</v>
      </c>
      <c r="AI103" s="193">
        <f>_xlfn.XLOOKUP(E103&amp;F103&amp;G103&amp;H103&amp;I103&amp;J103&amp;K103&amp;L103&amp;M103&amp;N103&amp;O103&amp;P103,'[2]2.4 wsLookup'!$M$2:$M$96,'[2]2.4 wsLookup'!$S$2:$S$96,"Introuvable")</f>
        <v>20000</v>
      </c>
      <c r="AK103" t="str">
        <f t="shared" si="10"/>
        <v>en localité|-|-|-|-|Route Principale|Circulation mixte|non|non|oui|Piste cyclable|-</v>
      </c>
      <c r="AO103" t="s">
        <v>1789</v>
      </c>
    </row>
    <row r="104" spans="1:41" ht="39" customHeight="1">
      <c r="A104" s="1"/>
      <c r="B104" s="1"/>
      <c r="C104" s="188" t="s">
        <v>1812</v>
      </c>
      <c r="D104" s="224" t="s">
        <v>1678</v>
      </c>
      <c r="E104" s="225" t="s">
        <v>1679</v>
      </c>
      <c r="F104" s="225" t="s">
        <v>256</v>
      </c>
      <c r="G104" s="225" t="s">
        <v>256</v>
      </c>
      <c r="H104" s="225" t="s">
        <v>256</v>
      </c>
      <c r="I104" s="225" t="s">
        <v>256</v>
      </c>
      <c r="J104" s="320" t="s">
        <v>1776</v>
      </c>
      <c r="K104" s="224" t="s">
        <v>1777</v>
      </c>
      <c r="L104" s="224" t="s">
        <v>1673</v>
      </c>
      <c r="M104" s="224" t="s">
        <v>1674</v>
      </c>
      <c r="N104" s="224" t="s">
        <v>1674</v>
      </c>
      <c r="O104" s="320" t="s">
        <v>1778</v>
      </c>
      <c r="P104" s="226" t="s">
        <v>256</v>
      </c>
      <c r="Q104" s="374">
        <v>7145</v>
      </c>
      <c r="R104" s="323" t="s">
        <v>1673</v>
      </c>
      <c r="S104" s="324" t="str">
        <f t="shared" si="6"/>
        <v>acceptable</v>
      </c>
      <c r="T104" s="325" t="str">
        <f t="shared" si="7"/>
        <v>acceptable</v>
      </c>
      <c r="U104" s="228" t="s">
        <v>1674</v>
      </c>
      <c r="V104" s="228" t="s">
        <v>1673</v>
      </c>
      <c r="W104" s="228" t="s">
        <v>1673</v>
      </c>
      <c r="X104" s="229" t="s">
        <v>1673</v>
      </c>
      <c r="Y104" s="288" t="str">
        <f t="shared" si="8"/>
        <v>oui</v>
      </c>
      <c r="Z104" s="328" t="str">
        <f t="shared" si="9"/>
        <v>élevé</v>
      </c>
      <c r="AA104" s="9"/>
      <c r="AB104" s="1"/>
      <c r="AC104" s="190">
        <f>_xlfn.XLOOKUP(E104&amp;F104&amp;G104&amp;H104&amp;I104&amp;J104&amp;K104&amp;L104&amp;M104&amp;N104&amp;O104&amp;P104,'[2]2.4 wsLookup'!$M$2:$M$96,'[2]2.4 wsLookup'!$N$2:$N$96,"Introuvable")</f>
        <v>9.59E-4</v>
      </c>
      <c r="AD104" s="190">
        <f>_xlfn.XLOOKUP(E104&amp;F104&amp;G104&amp;H104&amp;I104&amp;J104&amp;K104&amp;L104&amp;M104&amp;N104&amp;O104&amp;P104,'[2]2.4 wsLookup'!$M$2:$M$96,'[2]2.4 wsLookup'!$O$2:$O$96,"Introuvable")</f>
        <v>0.85</v>
      </c>
      <c r="AE104" s="90">
        <f t="shared" si="11"/>
        <v>1.8101747611322747</v>
      </c>
      <c r="AF104" s="206">
        <f>_xlfn.XLOOKUP(E104&amp;F104&amp;G104&amp;H104&amp;I104&amp;J104&amp;K104&amp;L104&amp;M104&amp;N104&amp;O104&amp;P104,'[2]2.4 wsLookup'!$M$2:$M$96,'[2]2.4 wsLookup'!$Q$2:$Q$96,"Introuvable")</f>
        <v>1.6401708719887149</v>
      </c>
      <c r="AG104" s="91">
        <f>_xlfn.XLOOKUP(E104&amp;F104&amp;G104&amp;H104&amp;I104&amp;J104&amp;K104&amp;L104&amp;M104&amp;N104&amp;O104&amp;P104,'[2]2.4 wsLookup'!$M$2:$M$96,'[2]2.4 wsLookup'!$P$2:$P$96,"Introuvable")</f>
        <v>5.0999999999999997E-2</v>
      </c>
      <c r="AH104" s="91">
        <f>_xlfn.XLOOKUP(E104&amp;F104&amp;G104&amp;H104&amp;I104&amp;J104&amp;K104&amp;L104&amp;M104&amp;N104&amp;O104&amp;P104,'[2]2.4 wsLookup'!$M$2:$M$96,'[2]2.4 wsLookup'!$R$2:$R$96,"Introuvable")</f>
        <v>6.6000000000000003E-2</v>
      </c>
      <c r="AI104" s="193">
        <f>_xlfn.XLOOKUP(E104&amp;F104&amp;G104&amp;H104&amp;I104&amp;J104&amp;K104&amp;L104&amp;M104&amp;N104&amp;O104&amp;P104,'[2]2.4 wsLookup'!$M$2:$M$96,'[2]2.4 wsLookup'!$S$2:$S$96,"Introuvable")</f>
        <v>9000</v>
      </c>
      <c r="AK104" t="str">
        <f t="shared" si="10"/>
        <v>en localité|-|-|-|-|Route Principale|Circulation mixte|non|oui|oui|Sans|-</v>
      </c>
      <c r="AO104" t="s">
        <v>1813</v>
      </c>
    </row>
    <row r="105" spans="1:41" ht="39" customHeight="1">
      <c r="A105" s="1"/>
      <c r="B105" s="1"/>
      <c r="C105" s="188" t="s">
        <v>1814</v>
      </c>
      <c r="D105" s="224" t="s">
        <v>1678</v>
      </c>
      <c r="E105" s="225" t="s">
        <v>1679</v>
      </c>
      <c r="F105" s="225" t="s">
        <v>256</v>
      </c>
      <c r="G105" s="225" t="s">
        <v>256</v>
      </c>
      <c r="H105" s="225" t="s">
        <v>256</v>
      </c>
      <c r="I105" s="225" t="s">
        <v>256</v>
      </c>
      <c r="J105" s="320" t="s">
        <v>1776</v>
      </c>
      <c r="K105" s="224" t="s">
        <v>1777</v>
      </c>
      <c r="L105" s="224" t="s">
        <v>1673</v>
      </c>
      <c r="M105" s="224" t="s">
        <v>1674</v>
      </c>
      <c r="N105" s="224" t="s">
        <v>1674</v>
      </c>
      <c r="O105" s="320" t="s">
        <v>1778</v>
      </c>
      <c r="P105" s="226" t="s">
        <v>256</v>
      </c>
      <c r="Q105" s="374">
        <v>7145</v>
      </c>
      <c r="R105" s="323" t="s">
        <v>1673</v>
      </c>
      <c r="S105" s="324" t="str">
        <f t="shared" si="6"/>
        <v>acceptable</v>
      </c>
      <c r="T105" s="325" t="str">
        <f t="shared" si="7"/>
        <v>acceptable</v>
      </c>
      <c r="U105" s="228" t="s">
        <v>1673</v>
      </c>
      <c r="V105" s="228" t="s">
        <v>1673</v>
      </c>
      <c r="W105" s="228" t="s">
        <v>1673</v>
      </c>
      <c r="X105" s="229" t="s">
        <v>1673</v>
      </c>
      <c r="Y105" s="288" t="str">
        <f t="shared" si="8"/>
        <v>non</v>
      </c>
      <c r="Z105" s="328" t="str">
        <f t="shared" si="9"/>
        <v>moyen</v>
      </c>
      <c r="AA105" s="9"/>
      <c r="AB105" s="1"/>
      <c r="AC105" s="190">
        <f>_xlfn.XLOOKUP(E105&amp;F105&amp;G105&amp;H105&amp;I105&amp;J105&amp;K105&amp;L105&amp;M105&amp;N105&amp;O105&amp;P105,'[2]2.4 wsLookup'!$M$2:$M$96,'[2]2.4 wsLookup'!$N$2:$N$96,"Introuvable")</f>
        <v>9.59E-4</v>
      </c>
      <c r="AD105" s="190">
        <f>_xlfn.XLOOKUP(E105&amp;F105&amp;G105&amp;H105&amp;I105&amp;J105&amp;K105&amp;L105&amp;M105&amp;N105&amp;O105&amp;P105,'[2]2.4 wsLookup'!$M$2:$M$96,'[2]2.4 wsLookup'!$O$2:$O$96,"Introuvable")</f>
        <v>0.85</v>
      </c>
      <c r="AE105" s="90">
        <f t="shared" si="11"/>
        <v>1.8101747611322747</v>
      </c>
      <c r="AF105" s="206">
        <f>_xlfn.XLOOKUP(E105&amp;F105&amp;G105&amp;H105&amp;I105&amp;J105&amp;K105&amp;L105&amp;M105&amp;N105&amp;O105&amp;P105,'[2]2.4 wsLookup'!$M$2:$M$96,'[2]2.4 wsLookup'!$Q$2:$Q$96,"Introuvable")</f>
        <v>1.6401708719887149</v>
      </c>
      <c r="AG105" s="91">
        <f>_xlfn.XLOOKUP(E105&amp;F105&amp;G105&amp;H105&amp;I105&amp;J105&amp;K105&amp;L105&amp;M105&amp;N105&amp;O105&amp;P105,'[2]2.4 wsLookup'!$M$2:$M$96,'[2]2.4 wsLookup'!$P$2:$P$96,"Introuvable")</f>
        <v>5.0999999999999997E-2</v>
      </c>
      <c r="AH105" s="91">
        <f>_xlfn.XLOOKUP(E105&amp;F105&amp;G105&amp;H105&amp;I105&amp;J105&amp;K105&amp;L105&amp;M105&amp;N105&amp;O105&amp;P105,'[2]2.4 wsLookup'!$M$2:$M$96,'[2]2.4 wsLookup'!$R$2:$R$96,"Introuvable")</f>
        <v>6.6000000000000003E-2</v>
      </c>
      <c r="AI105" s="193">
        <f>_xlfn.XLOOKUP(E105&amp;F105&amp;G105&amp;H105&amp;I105&amp;J105&amp;K105&amp;L105&amp;M105&amp;N105&amp;O105&amp;P105,'[2]2.4 wsLookup'!$M$2:$M$96,'[2]2.4 wsLookup'!$S$2:$S$96,"Introuvable")</f>
        <v>9000</v>
      </c>
      <c r="AK105" t="str">
        <f t="shared" si="10"/>
        <v>en localité|-|-|-|-|Route Principale|Circulation mixte|non|oui|oui|Sans|-</v>
      </c>
      <c r="AO105" t="s">
        <v>1779</v>
      </c>
    </row>
    <row r="106" spans="1:41" ht="39" customHeight="1">
      <c r="A106" s="1"/>
      <c r="B106" s="1"/>
      <c r="C106" s="188" t="s">
        <v>1815</v>
      </c>
      <c r="D106" s="224" t="s">
        <v>1678</v>
      </c>
      <c r="E106" s="225" t="s">
        <v>1679</v>
      </c>
      <c r="F106" s="225" t="s">
        <v>256</v>
      </c>
      <c r="G106" s="225" t="s">
        <v>256</v>
      </c>
      <c r="H106" s="225" t="s">
        <v>256</v>
      </c>
      <c r="I106" s="225" t="s">
        <v>256</v>
      </c>
      <c r="J106" s="320" t="s">
        <v>1776</v>
      </c>
      <c r="K106" s="224" t="s">
        <v>1777</v>
      </c>
      <c r="L106" s="224" t="s">
        <v>1674</v>
      </c>
      <c r="M106" s="224" t="s">
        <v>1674</v>
      </c>
      <c r="N106" s="224" t="s">
        <v>1674</v>
      </c>
      <c r="O106" s="320" t="s">
        <v>1778</v>
      </c>
      <c r="P106" s="226" t="s">
        <v>256</v>
      </c>
      <c r="Q106" s="374">
        <v>8256</v>
      </c>
      <c r="R106" s="323" t="s">
        <v>1673</v>
      </c>
      <c r="S106" s="324" t="str">
        <f t="shared" si="6"/>
        <v>acceptable</v>
      </c>
      <c r="T106" s="325" t="str">
        <f t="shared" si="7"/>
        <v>instable</v>
      </c>
      <c r="U106" s="228" t="s">
        <v>1673</v>
      </c>
      <c r="V106" s="228" t="s">
        <v>1673</v>
      </c>
      <c r="W106" s="228" t="s">
        <v>1673</v>
      </c>
      <c r="X106" s="229" t="s">
        <v>1673</v>
      </c>
      <c r="Y106" s="288" t="str">
        <f t="shared" si="8"/>
        <v>non</v>
      </c>
      <c r="Z106" s="328" t="str">
        <f t="shared" si="9"/>
        <v>élevé</v>
      </c>
      <c r="AA106" s="9"/>
      <c r="AB106" s="1"/>
      <c r="AC106" s="190">
        <f>_xlfn.XLOOKUP(E106&amp;F106&amp;G106&amp;H106&amp;I106&amp;J106&amp;K106&amp;L106&amp;M106&amp;N106&amp;O106&amp;P106,'[2]2.4 wsLookup'!$M$2:$M$96,'[2]2.4 wsLookup'!$N$2:$N$96,"Introuvable")</f>
        <v>1.32E-3</v>
      </c>
      <c r="AD106" s="190">
        <f>_xlfn.XLOOKUP(E106&amp;F106&amp;G106&amp;H106&amp;I106&amp;J106&amp;K106&amp;L106&amp;M106&amp;N106&amp;O106&amp;P106,'[2]2.4 wsLookup'!$M$2:$M$96,'[2]2.4 wsLookup'!$O$2:$O$96,"Introuvable")</f>
        <v>0.85</v>
      </c>
      <c r="AE106" s="90">
        <f t="shared" si="11"/>
        <v>2.8172680032117934</v>
      </c>
      <c r="AF106" s="206">
        <f>_xlfn.XLOOKUP(E106&amp;F106&amp;G106&amp;H106&amp;I106&amp;J106&amp;K106&amp;L106&amp;M106&amp;N106&amp;O106&amp;P106,'[2]2.4 wsLookup'!$M$2:$M$96,'[2]2.4 wsLookup'!$Q$2:$Q$96,"Introuvable")</f>
        <v>1.6401708719887149</v>
      </c>
      <c r="AG106" s="91">
        <f>_xlfn.XLOOKUP(E106&amp;F106&amp;G106&amp;H106&amp;I106&amp;J106&amp;K106&amp;L106&amp;M106&amp;N106&amp;O106&amp;P106,'[2]2.4 wsLookup'!$M$2:$M$96,'[2]2.4 wsLookup'!$P$2:$P$96,"Introuvable")</f>
        <v>6.3E-2</v>
      </c>
      <c r="AH106" s="91">
        <f>_xlfn.XLOOKUP(E106&amp;F106&amp;G106&amp;H106&amp;I106&amp;J106&amp;K106&amp;L106&amp;M106&amp;N106&amp;O106&amp;P106,'[2]2.4 wsLookup'!$M$2:$M$96,'[2]2.4 wsLookup'!$R$2:$R$96,"Introuvable")</f>
        <v>6.6000000000000003E-2</v>
      </c>
      <c r="AI106" s="193">
        <f>_xlfn.XLOOKUP(E106&amp;F106&amp;G106&amp;H106&amp;I106&amp;J106&amp;K106&amp;L106&amp;M106&amp;N106&amp;O106&amp;P106,'[2]2.4 wsLookup'!$M$2:$M$96,'[2]2.4 wsLookup'!$S$2:$S$96,"Introuvable")</f>
        <v>6000</v>
      </c>
      <c r="AK106" t="str">
        <f t="shared" si="10"/>
        <v>en localité|-|-|-|-|Route Principale|Circulation mixte|oui|oui|oui|Sans|-</v>
      </c>
      <c r="AO106" t="s">
        <v>1796</v>
      </c>
    </row>
    <row r="107" spans="1:41" ht="39" customHeight="1">
      <c r="A107" s="1"/>
      <c r="B107" s="1"/>
      <c r="C107" s="188" t="s">
        <v>1816</v>
      </c>
      <c r="D107" s="224" t="s">
        <v>1678</v>
      </c>
      <c r="E107" s="225" t="s">
        <v>1679</v>
      </c>
      <c r="F107" s="225" t="s">
        <v>256</v>
      </c>
      <c r="G107" s="225" t="s">
        <v>256</v>
      </c>
      <c r="H107" s="225" t="s">
        <v>256</v>
      </c>
      <c r="I107" s="225" t="s">
        <v>256</v>
      </c>
      <c r="J107" s="320" t="s">
        <v>1776</v>
      </c>
      <c r="K107" s="224" t="s">
        <v>1777</v>
      </c>
      <c r="L107" s="224" t="s">
        <v>1674</v>
      </c>
      <c r="M107" s="224" t="s">
        <v>1674</v>
      </c>
      <c r="N107" s="224" t="s">
        <v>1674</v>
      </c>
      <c r="O107" s="320" t="s">
        <v>1778</v>
      </c>
      <c r="P107" s="226" t="s">
        <v>256</v>
      </c>
      <c r="Q107" s="374">
        <v>7918</v>
      </c>
      <c r="R107" s="323" t="s">
        <v>1673</v>
      </c>
      <c r="S107" s="324" t="str">
        <f t="shared" si="6"/>
        <v>acceptable</v>
      </c>
      <c r="T107" s="325" t="str">
        <f t="shared" si="7"/>
        <v>instable</v>
      </c>
      <c r="U107" s="228" t="s">
        <v>1673</v>
      </c>
      <c r="V107" s="228" t="s">
        <v>1673</v>
      </c>
      <c r="W107" s="228" t="s">
        <v>1673</v>
      </c>
      <c r="X107" s="229" t="s">
        <v>1673</v>
      </c>
      <c r="Y107" s="288" t="str">
        <f t="shared" si="8"/>
        <v>non</v>
      </c>
      <c r="Z107" s="328" t="str">
        <f t="shared" si="9"/>
        <v>élevé</v>
      </c>
      <c r="AA107" s="9"/>
      <c r="AB107" s="1"/>
      <c r="AC107" s="190">
        <f>_xlfn.XLOOKUP(E107&amp;F107&amp;G107&amp;H107&amp;I107&amp;J107&amp;K107&amp;L107&amp;M107&amp;N107&amp;O107&amp;P107,'[2]2.4 wsLookup'!$M$2:$M$96,'[2]2.4 wsLookup'!$N$2:$N$96,"Introuvable")</f>
        <v>1.32E-3</v>
      </c>
      <c r="AD107" s="190">
        <f>_xlfn.XLOOKUP(E107&amp;F107&amp;G107&amp;H107&amp;I107&amp;J107&amp;K107&amp;L107&amp;M107&amp;N107&amp;O107&amp;P107,'[2]2.4 wsLookup'!$M$2:$M$96,'[2]2.4 wsLookup'!$O$2:$O$96,"Introuvable")</f>
        <v>0.85</v>
      </c>
      <c r="AE107" s="90">
        <f t="shared" si="11"/>
        <v>2.7189242238364129</v>
      </c>
      <c r="AF107" s="206">
        <f>_xlfn.XLOOKUP(E107&amp;F107&amp;G107&amp;H107&amp;I107&amp;J107&amp;K107&amp;L107&amp;M107&amp;N107&amp;O107&amp;P107,'[2]2.4 wsLookup'!$M$2:$M$96,'[2]2.4 wsLookup'!$Q$2:$Q$96,"Introuvable")</f>
        <v>1.6401708719887149</v>
      </c>
      <c r="AG107" s="91">
        <f>_xlfn.XLOOKUP(E107&amp;F107&amp;G107&amp;H107&amp;I107&amp;J107&amp;K107&amp;L107&amp;M107&amp;N107&amp;O107&amp;P107,'[2]2.4 wsLookup'!$M$2:$M$96,'[2]2.4 wsLookup'!$P$2:$P$96,"Introuvable")</f>
        <v>6.3E-2</v>
      </c>
      <c r="AH107" s="91">
        <f>_xlfn.XLOOKUP(E107&amp;F107&amp;G107&amp;H107&amp;I107&amp;J107&amp;K107&amp;L107&amp;M107&amp;N107&amp;O107&amp;P107,'[2]2.4 wsLookup'!$M$2:$M$96,'[2]2.4 wsLookup'!$R$2:$R$96,"Introuvable")</f>
        <v>6.6000000000000003E-2</v>
      </c>
      <c r="AI107" s="193">
        <f>_xlfn.XLOOKUP(E107&amp;F107&amp;G107&amp;H107&amp;I107&amp;J107&amp;K107&amp;L107&amp;M107&amp;N107&amp;O107&amp;P107,'[2]2.4 wsLookup'!$M$2:$M$96,'[2]2.4 wsLookup'!$S$2:$S$96,"Introuvable")</f>
        <v>6000</v>
      </c>
      <c r="AK107" t="str">
        <f t="shared" si="10"/>
        <v>en localité|-|-|-|-|Route Principale|Circulation mixte|oui|oui|oui|Sans|-</v>
      </c>
      <c r="AO107" t="s">
        <v>1796</v>
      </c>
    </row>
    <row r="108" spans="1:41" ht="39" customHeight="1">
      <c r="A108" s="1"/>
      <c r="B108" s="1"/>
      <c r="C108" s="188" t="s">
        <v>1817</v>
      </c>
      <c r="D108" s="224" t="s">
        <v>1678</v>
      </c>
      <c r="E108" s="225" t="s">
        <v>1679</v>
      </c>
      <c r="F108" s="225" t="s">
        <v>256</v>
      </c>
      <c r="G108" s="225" t="s">
        <v>256</v>
      </c>
      <c r="H108" s="225" t="s">
        <v>256</v>
      </c>
      <c r="I108" s="225" t="s">
        <v>256</v>
      </c>
      <c r="J108" s="320" t="s">
        <v>1776</v>
      </c>
      <c r="K108" s="224" t="s">
        <v>1777</v>
      </c>
      <c r="L108" s="224" t="s">
        <v>1673</v>
      </c>
      <c r="M108" s="224" t="s">
        <v>1673</v>
      </c>
      <c r="N108" s="224" t="s">
        <v>1673</v>
      </c>
      <c r="O108" s="320" t="s">
        <v>1799</v>
      </c>
      <c r="P108" s="226" t="s">
        <v>256</v>
      </c>
      <c r="Q108" s="374">
        <v>6835</v>
      </c>
      <c r="R108" s="323" t="s">
        <v>1673</v>
      </c>
      <c r="S108" s="324" t="str">
        <f t="shared" si="6"/>
        <v>sûr</v>
      </c>
      <c r="T108" s="325" t="str">
        <f t="shared" si="7"/>
        <v>fluide</v>
      </c>
      <c r="U108" s="228" t="s">
        <v>1673</v>
      </c>
      <c r="V108" s="228" t="s">
        <v>1673</v>
      </c>
      <c r="W108" s="228" t="s">
        <v>1673</v>
      </c>
      <c r="X108" s="229" t="s">
        <v>1673</v>
      </c>
      <c r="Y108" s="288" t="str">
        <f t="shared" si="8"/>
        <v>non</v>
      </c>
      <c r="Z108" s="328" t="str">
        <f t="shared" si="9"/>
        <v>faible</v>
      </c>
      <c r="AA108" s="9"/>
      <c r="AB108" s="1"/>
      <c r="AC108" s="190">
        <f>_xlfn.XLOOKUP(E108&amp;F108&amp;G108&amp;H108&amp;I108&amp;J108&amp;K108&amp;L108&amp;M108&amp;N108&amp;O108&amp;P108,'[2]2.4 wsLookup'!$M$2:$M$96,'[2]2.4 wsLookup'!$N$2:$N$96,"Introuvable")</f>
        <v>2.7999999999999998E-4</v>
      </c>
      <c r="AD108" s="190">
        <f>_xlfn.XLOOKUP(E108&amp;F108&amp;G108&amp;H108&amp;I108&amp;J108&amp;K108&amp;L108&amp;M108&amp;N108&amp;O108&amp;P108,'[2]2.4 wsLookup'!$M$2:$M$96,'[2]2.4 wsLookup'!$O$2:$O$96,"Introuvable")</f>
        <v>0.85</v>
      </c>
      <c r="AE108" s="90">
        <f t="shared" si="11"/>
        <v>0.50896248524279486</v>
      </c>
      <c r="AF108" s="206">
        <f>_xlfn.XLOOKUP(E108&amp;F108&amp;G108&amp;H108&amp;I108&amp;J108&amp;K108&amp;L108&amp;M108&amp;N108&amp;O108&amp;P108,'[2]2.4 wsLookup'!$M$2:$M$96,'[2]2.4 wsLookup'!$Q$2:$Q$96,"Introuvable")</f>
        <v>1.6401708719887149</v>
      </c>
      <c r="AG108" s="91">
        <f>_xlfn.XLOOKUP(E108&amp;F108&amp;G108&amp;H108&amp;I108&amp;J108&amp;K108&amp;L108&amp;M108&amp;N108&amp;O108&amp;P108,'[2]2.4 wsLookup'!$M$2:$M$96,'[2]2.4 wsLookup'!$P$2:$P$96,"Introuvable")</f>
        <v>6.6000000000000003E-2</v>
      </c>
      <c r="AH108" s="91">
        <f>_xlfn.XLOOKUP(E108&amp;F108&amp;G108&amp;H108&amp;I108&amp;J108&amp;K108&amp;L108&amp;M108&amp;N108&amp;O108&amp;P108,'[2]2.4 wsLookup'!$M$2:$M$96,'[2]2.4 wsLookup'!$R$2:$R$96,"Introuvable")</f>
        <v>6.6000000000000003E-2</v>
      </c>
      <c r="AI108" s="193">
        <f>_xlfn.XLOOKUP(E108&amp;F108&amp;G108&amp;H108&amp;I108&amp;J108&amp;K108&amp;L108&amp;M108&amp;N108&amp;O108&amp;P108,'[2]2.4 wsLookup'!$M$2:$M$96,'[2]2.4 wsLookup'!$S$2:$S$96,"Introuvable")</f>
        <v>20000</v>
      </c>
      <c r="AK108" t="str">
        <f t="shared" si="10"/>
        <v>en localité|-|-|-|-|Route Principale|Circulation mixte|non|non|non|Piste cyclable|-</v>
      </c>
      <c r="AO108" t="s">
        <v>1789</v>
      </c>
    </row>
    <row r="109" spans="1:41" ht="39" customHeight="1">
      <c r="A109" s="1"/>
      <c r="B109" s="1"/>
      <c r="C109" s="188" t="s">
        <v>1818</v>
      </c>
      <c r="D109" s="224" t="s">
        <v>1678</v>
      </c>
      <c r="E109" s="225" t="s">
        <v>1679</v>
      </c>
      <c r="F109" s="225" t="s">
        <v>256</v>
      </c>
      <c r="G109" s="225" t="s">
        <v>256</v>
      </c>
      <c r="H109" s="225" t="s">
        <v>256</v>
      </c>
      <c r="I109" s="225" t="s">
        <v>256</v>
      </c>
      <c r="J109" s="320" t="s">
        <v>1776</v>
      </c>
      <c r="K109" s="224" t="s">
        <v>1777</v>
      </c>
      <c r="L109" s="224" t="s">
        <v>1673</v>
      </c>
      <c r="M109" s="224" t="s">
        <v>1673</v>
      </c>
      <c r="N109" s="224" t="s">
        <v>1673</v>
      </c>
      <c r="O109" s="320" t="s">
        <v>1799</v>
      </c>
      <c r="P109" s="226" t="s">
        <v>256</v>
      </c>
      <c r="Q109" s="374">
        <v>5726</v>
      </c>
      <c r="R109" s="323" t="s">
        <v>1673</v>
      </c>
      <c r="S109" s="324" t="str">
        <f t="shared" si="6"/>
        <v>sûr</v>
      </c>
      <c r="T109" s="325" t="str">
        <f t="shared" si="7"/>
        <v>fluide</v>
      </c>
      <c r="U109" s="228" t="s">
        <v>1673</v>
      </c>
      <c r="V109" s="228" t="s">
        <v>1673</v>
      </c>
      <c r="W109" s="228" t="s">
        <v>1673</v>
      </c>
      <c r="X109" s="229" t="s">
        <v>1673</v>
      </c>
      <c r="Y109" s="288" t="str">
        <f t="shared" si="8"/>
        <v>non</v>
      </c>
      <c r="Z109" s="328" t="str">
        <f t="shared" si="9"/>
        <v>faible</v>
      </c>
      <c r="AA109" s="9"/>
      <c r="AB109" s="1"/>
      <c r="AC109" s="190">
        <f>_xlfn.XLOOKUP(E109&amp;F109&amp;G109&amp;H109&amp;I109&amp;J109&amp;K109&amp;L109&amp;M109&amp;N109&amp;O109&amp;P109,'[2]2.4 wsLookup'!$M$2:$M$96,'[2]2.4 wsLookup'!$N$2:$N$96,"Introuvable")</f>
        <v>2.7999999999999998E-4</v>
      </c>
      <c r="AD109" s="190">
        <f>_xlfn.XLOOKUP(E109&amp;F109&amp;G109&amp;H109&amp;I109&amp;J109&amp;K109&amp;L109&amp;M109&amp;N109&amp;O109&amp;P109,'[2]2.4 wsLookup'!$M$2:$M$96,'[2]2.4 wsLookup'!$O$2:$O$96,"Introuvable")</f>
        <v>0.85</v>
      </c>
      <c r="AE109" s="90">
        <f t="shared" si="11"/>
        <v>0.43785637121406407</v>
      </c>
      <c r="AF109" s="206">
        <f>_xlfn.XLOOKUP(E109&amp;F109&amp;G109&amp;H109&amp;I109&amp;J109&amp;K109&amp;L109&amp;M109&amp;N109&amp;O109&amp;P109,'[2]2.4 wsLookup'!$M$2:$M$96,'[2]2.4 wsLookup'!$Q$2:$Q$96,"Introuvable")</f>
        <v>1.6401708719887149</v>
      </c>
      <c r="AG109" s="91">
        <f>_xlfn.XLOOKUP(E109&amp;F109&amp;G109&amp;H109&amp;I109&amp;J109&amp;K109&amp;L109&amp;M109&amp;N109&amp;O109&amp;P109,'[2]2.4 wsLookup'!$M$2:$M$96,'[2]2.4 wsLookup'!$P$2:$P$96,"Introuvable")</f>
        <v>6.6000000000000003E-2</v>
      </c>
      <c r="AH109" s="91">
        <f>_xlfn.XLOOKUP(E109&amp;F109&amp;G109&amp;H109&amp;I109&amp;J109&amp;K109&amp;L109&amp;M109&amp;N109&amp;O109&amp;P109,'[2]2.4 wsLookup'!$M$2:$M$96,'[2]2.4 wsLookup'!$R$2:$R$96,"Introuvable")</f>
        <v>6.6000000000000003E-2</v>
      </c>
      <c r="AI109" s="193">
        <f>_xlfn.XLOOKUP(E109&amp;F109&amp;G109&amp;H109&amp;I109&amp;J109&amp;K109&amp;L109&amp;M109&amp;N109&amp;O109&amp;P109,'[2]2.4 wsLookup'!$M$2:$M$96,'[2]2.4 wsLookup'!$S$2:$S$96,"Introuvable")</f>
        <v>20000</v>
      </c>
      <c r="AK109" t="str">
        <f t="shared" si="10"/>
        <v>en localité|-|-|-|-|Route Principale|Circulation mixte|non|non|non|Piste cyclable|-</v>
      </c>
      <c r="AO109" t="s">
        <v>1789</v>
      </c>
    </row>
    <row r="110" spans="1:41" ht="39" customHeight="1">
      <c r="A110" s="1"/>
      <c r="B110" s="1"/>
      <c r="C110" s="188" t="s">
        <v>1819</v>
      </c>
      <c r="D110" s="224" t="s">
        <v>1678</v>
      </c>
      <c r="E110" s="225" t="s">
        <v>1679</v>
      </c>
      <c r="F110" s="225" t="s">
        <v>256</v>
      </c>
      <c r="G110" s="225" t="s">
        <v>256</v>
      </c>
      <c r="H110" s="225" t="s">
        <v>256</v>
      </c>
      <c r="I110" s="225" t="s">
        <v>256</v>
      </c>
      <c r="J110" s="320" t="s">
        <v>1776</v>
      </c>
      <c r="K110" s="224" t="s">
        <v>1777</v>
      </c>
      <c r="L110" s="224" t="s">
        <v>1673</v>
      </c>
      <c r="M110" s="224" t="s">
        <v>1673</v>
      </c>
      <c r="N110" s="224" t="s">
        <v>1673</v>
      </c>
      <c r="O110" s="320" t="s">
        <v>1799</v>
      </c>
      <c r="P110" s="226" t="s">
        <v>256</v>
      </c>
      <c r="Q110" s="374">
        <v>5726</v>
      </c>
      <c r="R110" s="323" t="s">
        <v>1673</v>
      </c>
      <c r="S110" s="324" t="str">
        <f t="shared" si="6"/>
        <v>sûr</v>
      </c>
      <c r="T110" s="325" t="str">
        <f t="shared" si="7"/>
        <v>fluide</v>
      </c>
      <c r="U110" s="228" t="s">
        <v>1673</v>
      </c>
      <c r="V110" s="228" t="s">
        <v>1673</v>
      </c>
      <c r="W110" s="228" t="s">
        <v>1673</v>
      </c>
      <c r="X110" s="229" t="s">
        <v>1673</v>
      </c>
      <c r="Y110" s="288" t="str">
        <f t="shared" si="8"/>
        <v>non</v>
      </c>
      <c r="Z110" s="328" t="str">
        <f t="shared" si="9"/>
        <v>faible</v>
      </c>
      <c r="AA110" s="9"/>
      <c r="AB110" s="1"/>
      <c r="AC110" s="190">
        <f>_xlfn.XLOOKUP(E110&amp;F110&amp;G110&amp;H110&amp;I110&amp;J110&amp;K110&amp;L110&amp;M110&amp;N110&amp;O110&amp;P110,'[2]2.4 wsLookup'!$M$2:$M$96,'[2]2.4 wsLookup'!$N$2:$N$96,"Introuvable")</f>
        <v>2.7999999999999998E-4</v>
      </c>
      <c r="AD110" s="190">
        <f>_xlfn.XLOOKUP(E110&amp;F110&amp;G110&amp;H110&amp;I110&amp;J110&amp;K110&amp;L110&amp;M110&amp;N110&amp;O110&amp;P110,'[2]2.4 wsLookup'!$M$2:$M$96,'[2]2.4 wsLookup'!$O$2:$O$96,"Introuvable")</f>
        <v>0.85</v>
      </c>
      <c r="AE110" s="90">
        <f t="shared" si="11"/>
        <v>0.43785637121406407</v>
      </c>
      <c r="AF110" s="206">
        <f>_xlfn.XLOOKUP(E110&amp;F110&amp;G110&amp;H110&amp;I110&amp;J110&amp;K110&amp;L110&amp;M110&amp;N110&amp;O110&amp;P110,'[2]2.4 wsLookup'!$M$2:$M$96,'[2]2.4 wsLookup'!$Q$2:$Q$96,"Introuvable")</f>
        <v>1.6401708719887149</v>
      </c>
      <c r="AG110" s="91">
        <f>_xlfn.XLOOKUP(E110&amp;F110&amp;G110&amp;H110&amp;I110&amp;J110&amp;K110&amp;L110&amp;M110&amp;N110&amp;O110&amp;P110,'[2]2.4 wsLookup'!$M$2:$M$96,'[2]2.4 wsLookup'!$P$2:$P$96,"Introuvable")</f>
        <v>6.6000000000000003E-2</v>
      </c>
      <c r="AH110" s="91">
        <f>_xlfn.XLOOKUP(E110&amp;F110&amp;G110&amp;H110&amp;I110&amp;J110&amp;K110&amp;L110&amp;M110&amp;N110&amp;O110&amp;P110,'[2]2.4 wsLookup'!$M$2:$M$96,'[2]2.4 wsLookup'!$R$2:$R$96,"Introuvable")</f>
        <v>6.6000000000000003E-2</v>
      </c>
      <c r="AI110" s="193">
        <f>_xlfn.XLOOKUP(E110&amp;F110&amp;G110&amp;H110&amp;I110&amp;J110&amp;K110&amp;L110&amp;M110&amp;N110&amp;O110&amp;P110,'[2]2.4 wsLookup'!$M$2:$M$96,'[2]2.4 wsLookup'!$S$2:$S$96,"Introuvable")</f>
        <v>20000</v>
      </c>
      <c r="AK110" t="str">
        <f t="shared" si="10"/>
        <v>en localité|-|-|-|-|Route Principale|Circulation mixte|non|non|non|Piste cyclable|-</v>
      </c>
      <c r="AO110" t="s">
        <v>1789</v>
      </c>
    </row>
    <row r="111" spans="1:41" ht="39" customHeight="1">
      <c r="A111" s="1"/>
      <c r="B111" s="1"/>
      <c r="C111" s="188" t="s">
        <v>1820</v>
      </c>
      <c r="D111" s="224" t="s">
        <v>1678</v>
      </c>
      <c r="E111" s="225" t="s">
        <v>1679</v>
      </c>
      <c r="F111" s="225" t="s">
        <v>256</v>
      </c>
      <c r="G111" s="225" t="s">
        <v>256</v>
      </c>
      <c r="H111" s="225" t="s">
        <v>256</v>
      </c>
      <c r="I111" s="225" t="s">
        <v>256</v>
      </c>
      <c r="J111" s="320" t="s">
        <v>1776</v>
      </c>
      <c r="K111" s="224" t="s">
        <v>1777</v>
      </c>
      <c r="L111" s="224" t="s">
        <v>1673</v>
      </c>
      <c r="M111" s="224" t="s">
        <v>1673</v>
      </c>
      <c r="N111" s="224" t="s">
        <v>1673</v>
      </c>
      <c r="O111" s="320" t="s">
        <v>1799</v>
      </c>
      <c r="P111" s="226" t="s">
        <v>256</v>
      </c>
      <c r="Q111" s="374">
        <v>2987</v>
      </c>
      <c r="R111" s="323" t="s">
        <v>1673</v>
      </c>
      <c r="S111" s="324" t="str">
        <f t="shared" si="6"/>
        <v>sûr</v>
      </c>
      <c r="T111" s="325" t="str">
        <f t="shared" si="7"/>
        <v>fluide</v>
      </c>
      <c r="U111" s="228" t="s">
        <v>1673</v>
      </c>
      <c r="V111" s="228" t="s">
        <v>1673</v>
      </c>
      <c r="W111" s="228" t="s">
        <v>1673</v>
      </c>
      <c r="X111" s="229" t="s">
        <v>1673</v>
      </c>
      <c r="Y111" s="288" t="str">
        <f t="shared" si="8"/>
        <v>non</v>
      </c>
      <c r="Z111" s="328" t="str">
        <f t="shared" si="9"/>
        <v>faible</v>
      </c>
      <c r="AA111" s="9"/>
      <c r="AB111" s="1"/>
      <c r="AC111" s="190">
        <f>_xlfn.XLOOKUP(E111&amp;F111&amp;G111&amp;H111&amp;I111&amp;J111&amp;K111&amp;L111&amp;M111&amp;N111&amp;O111&amp;P111,'[2]2.4 wsLookup'!$M$2:$M$96,'[2]2.4 wsLookup'!$N$2:$N$96,"Introuvable")</f>
        <v>2.7999999999999998E-4</v>
      </c>
      <c r="AD111" s="190">
        <f>_xlfn.XLOOKUP(E111&amp;F111&amp;G111&amp;H111&amp;I111&amp;J111&amp;K111&amp;L111&amp;M111&amp;N111&amp;O111&amp;P111,'[2]2.4 wsLookup'!$M$2:$M$96,'[2]2.4 wsLookup'!$O$2:$O$96,"Introuvable")</f>
        <v>0.85</v>
      </c>
      <c r="AE111" s="90">
        <f t="shared" si="11"/>
        <v>0.25183029287369929</v>
      </c>
      <c r="AF111" s="206">
        <f>_xlfn.XLOOKUP(E111&amp;F111&amp;G111&amp;H111&amp;I111&amp;J111&amp;K111&amp;L111&amp;M111&amp;N111&amp;O111&amp;P111,'[2]2.4 wsLookup'!$M$2:$M$96,'[2]2.4 wsLookup'!$Q$2:$Q$96,"Introuvable")</f>
        <v>1.6401708719887149</v>
      </c>
      <c r="AG111" s="91">
        <f>_xlfn.XLOOKUP(E111&amp;F111&amp;G111&amp;H111&amp;I111&amp;J111&amp;K111&amp;L111&amp;M111&amp;N111&amp;O111&amp;P111,'[2]2.4 wsLookup'!$M$2:$M$96,'[2]2.4 wsLookup'!$P$2:$P$96,"Introuvable")</f>
        <v>6.6000000000000003E-2</v>
      </c>
      <c r="AH111" s="91">
        <f>_xlfn.XLOOKUP(E111&amp;F111&amp;G111&amp;H111&amp;I111&amp;J111&amp;K111&amp;L111&amp;M111&amp;N111&amp;O111&amp;P111,'[2]2.4 wsLookup'!$M$2:$M$96,'[2]2.4 wsLookup'!$R$2:$R$96,"Introuvable")</f>
        <v>6.6000000000000003E-2</v>
      </c>
      <c r="AI111" s="193">
        <f>_xlfn.XLOOKUP(E111&amp;F111&amp;G111&amp;H111&amp;I111&amp;J111&amp;K111&amp;L111&amp;M111&amp;N111&amp;O111&amp;P111,'[2]2.4 wsLookup'!$M$2:$M$96,'[2]2.4 wsLookup'!$S$2:$S$96,"Introuvable")</f>
        <v>20000</v>
      </c>
      <c r="AK111" t="str">
        <f t="shared" si="10"/>
        <v>en localité|-|-|-|-|Route Principale|Circulation mixte|non|non|non|Piste cyclable|-</v>
      </c>
      <c r="AO111" t="s">
        <v>1789</v>
      </c>
    </row>
    <row r="112" spans="1:41" ht="39" customHeight="1">
      <c r="A112" s="1"/>
      <c r="B112" s="1"/>
      <c r="C112" s="188" t="s">
        <v>1821</v>
      </c>
      <c r="D112" s="224" t="s">
        <v>1678</v>
      </c>
      <c r="E112" s="225" t="s">
        <v>1679</v>
      </c>
      <c r="F112" s="225" t="s">
        <v>256</v>
      </c>
      <c r="G112" s="225" t="s">
        <v>256</v>
      </c>
      <c r="H112" s="225" t="s">
        <v>256</v>
      </c>
      <c r="I112" s="225" t="s">
        <v>256</v>
      </c>
      <c r="J112" s="320" t="s">
        <v>1776</v>
      </c>
      <c r="K112" s="224" t="s">
        <v>1777</v>
      </c>
      <c r="L112" s="224" t="s">
        <v>1673</v>
      </c>
      <c r="M112" s="224" t="s">
        <v>1673</v>
      </c>
      <c r="N112" s="224" t="s">
        <v>1673</v>
      </c>
      <c r="O112" s="320" t="s">
        <v>1799</v>
      </c>
      <c r="P112" s="226" t="s">
        <v>256</v>
      </c>
      <c r="Q112" s="374">
        <v>6835</v>
      </c>
      <c r="R112" s="323" t="s">
        <v>1673</v>
      </c>
      <c r="S112" s="324" t="str">
        <f t="shared" si="6"/>
        <v>sûr</v>
      </c>
      <c r="T112" s="325" t="str">
        <f t="shared" si="7"/>
        <v>fluide</v>
      </c>
      <c r="U112" s="228" t="s">
        <v>1673</v>
      </c>
      <c r="V112" s="228" t="s">
        <v>1673</v>
      </c>
      <c r="W112" s="228" t="s">
        <v>1673</v>
      </c>
      <c r="X112" s="229" t="s">
        <v>1673</v>
      </c>
      <c r="Y112" s="288" t="str">
        <f t="shared" si="8"/>
        <v>non</v>
      </c>
      <c r="Z112" s="328" t="str">
        <f t="shared" si="9"/>
        <v>faible</v>
      </c>
      <c r="AA112" s="9"/>
      <c r="AB112" s="1"/>
      <c r="AC112" s="190">
        <f>_xlfn.XLOOKUP(E112&amp;F112&amp;G112&amp;H112&amp;I112&amp;J112&amp;K112&amp;L112&amp;M112&amp;N112&amp;O112&amp;P112,'[2]2.4 wsLookup'!$M$2:$M$96,'[2]2.4 wsLookup'!$N$2:$N$96,"Introuvable")</f>
        <v>2.7999999999999998E-4</v>
      </c>
      <c r="AD112" s="190">
        <f>_xlfn.XLOOKUP(E112&amp;F112&amp;G112&amp;H112&amp;I112&amp;J112&amp;K112&amp;L112&amp;M112&amp;N112&amp;O112&amp;P112,'[2]2.4 wsLookup'!$M$2:$M$96,'[2]2.4 wsLookup'!$O$2:$O$96,"Introuvable")</f>
        <v>0.85</v>
      </c>
      <c r="AE112" s="90">
        <f t="shared" si="11"/>
        <v>0.50896248524279486</v>
      </c>
      <c r="AF112" s="206">
        <f>_xlfn.XLOOKUP(E112&amp;F112&amp;G112&amp;H112&amp;I112&amp;J112&amp;K112&amp;L112&amp;M112&amp;N112&amp;O112&amp;P112,'[2]2.4 wsLookup'!$M$2:$M$96,'[2]2.4 wsLookup'!$Q$2:$Q$96,"Introuvable")</f>
        <v>1.6401708719887149</v>
      </c>
      <c r="AG112" s="91">
        <f>_xlfn.XLOOKUP(E112&amp;F112&amp;G112&amp;H112&amp;I112&amp;J112&amp;K112&amp;L112&amp;M112&amp;N112&amp;O112&amp;P112,'[2]2.4 wsLookup'!$M$2:$M$96,'[2]2.4 wsLookup'!$P$2:$P$96,"Introuvable")</f>
        <v>6.6000000000000003E-2</v>
      </c>
      <c r="AH112" s="91">
        <f>_xlfn.XLOOKUP(E112&amp;F112&amp;G112&amp;H112&amp;I112&amp;J112&amp;K112&amp;L112&amp;M112&amp;N112&amp;O112&amp;P112,'[2]2.4 wsLookup'!$M$2:$M$96,'[2]2.4 wsLookup'!$R$2:$R$96,"Introuvable")</f>
        <v>6.6000000000000003E-2</v>
      </c>
      <c r="AI112" s="193">
        <f>_xlfn.XLOOKUP(E112&amp;F112&amp;G112&amp;H112&amp;I112&amp;J112&amp;K112&amp;L112&amp;M112&amp;N112&amp;O112&amp;P112,'[2]2.4 wsLookup'!$M$2:$M$96,'[2]2.4 wsLookup'!$S$2:$S$96,"Introuvable")</f>
        <v>20000</v>
      </c>
      <c r="AK112" t="str">
        <f t="shared" si="10"/>
        <v>en localité|-|-|-|-|Route Principale|Circulation mixte|non|non|non|Piste cyclable|-</v>
      </c>
      <c r="AO112" t="s">
        <v>1822</v>
      </c>
    </row>
    <row r="113" spans="1:41" ht="39" customHeight="1">
      <c r="A113" s="1"/>
      <c r="B113" s="1"/>
      <c r="C113" s="188" t="s">
        <v>1823</v>
      </c>
      <c r="D113" s="224" t="s">
        <v>1678</v>
      </c>
      <c r="E113" s="225" t="s">
        <v>1679</v>
      </c>
      <c r="F113" s="225" t="s">
        <v>256</v>
      </c>
      <c r="G113" s="225" t="s">
        <v>256</v>
      </c>
      <c r="H113" s="225" t="s">
        <v>256</v>
      </c>
      <c r="I113" s="225" t="s">
        <v>256</v>
      </c>
      <c r="J113" s="320" t="s">
        <v>1776</v>
      </c>
      <c r="K113" s="224" t="s">
        <v>1777</v>
      </c>
      <c r="L113" s="224" t="s">
        <v>1673</v>
      </c>
      <c r="M113" s="224" t="s">
        <v>1673</v>
      </c>
      <c r="N113" s="224" t="s">
        <v>1673</v>
      </c>
      <c r="O113" s="320" t="s">
        <v>1799</v>
      </c>
      <c r="P113" s="226" t="s">
        <v>256</v>
      </c>
      <c r="Q113" s="374">
        <v>2987</v>
      </c>
      <c r="R113" s="323" t="s">
        <v>1673</v>
      </c>
      <c r="S113" s="324" t="str">
        <f t="shared" si="6"/>
        <v>sûr</v>
      </c>
      <c r="T113" s="325" t="str">
        <f t="shared" si="7"/>
        <v>fluide</v>
      </c>
      <c r="U113" s="228" t="s">
        <v>1673</v>
      </c>
      <c r="V113" s="228" t="s">
        <v>1673</v>
      </c>
      <c r="W113" s="228" t="s">
        <v>1673</v>
      </c>
      <c r="X113" s="229" t="s">
        <v>1673</v>
      </c>
      <c r="Y113" s="288" t="str">
        <f t="shared" si="8"/>
        <v>non</v>
      </c>
      <c r="Z113" s="328" t="str">
        <f t="shared" si="9"/>
        <v>faible</v>
      </c>
      <c r="AA113" s="9"/>
      <c r="AB113" s="1"/>
      <c r="AC113" s="190">
        <f>_xlfn.XLOOKUP(E113&amp;F113&amp;G113&amp;H113&amp;I113&amp;J113&amp;K113&amp;L113&amp;M113&amp;N113&amp;O113&amp;P113,'[2]2.4 wsLookup'!$M$2:$M$96,'[2]2.4 wsLookup'!$N$2:$N$96,"Introuvable")</f>
        <v>2.7999999999999998E-4</v>
      </c>
      <c r="AD113" s="190">
        <f>_xlfn.XLOOKUP(E113&amp;F113&amp;G113&amp;H113&amp;I113&amp;J113&amp;K113&amp;L113&amp;M113&amp;N113&amp;O113&amp;P113,'[2]2.4 wsLookup'!$M$2:$M$96,'[2]2.4 wsLookup'!$O$2:$O$96,"Introuvable")</f>
        <v>0.85</v>
      </c>
      <c r="AE113" s="90">
        <f t="shared" si="11"/>
        <v>0.25183029287369929</v>
      </c>
      <c r="AF113" s="206">
        <f>_xlfn.XLOOKUP(E113&amp;F113&amp;G113&amp;H113&amp;I113&amp;J113&amp;K113&amp;L113&amp;M113&amp;N113&amp;O113&amp;P113,'[2]2.4 wsLookup'!$M$2:$M$96,'[2]2.4 wsLookup'!$Q$2:$Q$96,"Introuvable")</f>
        <v>1.6401708719887149</v>
      </c>
      <c r="AG113" s="91">
        <f>_xlfn.XLOOKUP(E113&amp;F113&amp;G113&amp;H113&amp;I113&amp;J113&amp;K113&amp;L113&amp;M113&amp;N113&amp;O113&amp;P113,'[2]2.4 wsLookup'!$M$2:$M$96,'[2]2.4 wsLookup'!$P$2:$P$96,"Introuvable")</f>
        <v>6.6000000000000003E-2</v>
      </c>
      <c r="AH113" s="91">
        <f>_xlfn.XLOOKUP(E113&amp;F113&amp;G113&amp;H113&amp;I113&amp;J113&amp;K113&amp;L113&amp;M113&amp;N113&amp;O113&amp;P113,'[2]2.4 wsLookup'!$M$2:$M$96,'[2]2.4 wsLookup'!$R$2:$R$96,"Introuvable")</f>
        <v>6.6000000000000003E-2</v>
      </c>
      <c r="AI113" s="193">
        <f>_xlfn.XLOOKUP(E113&amp;F113&amp;G113&amp;H113&amp;I113&amp;J113&amp;K113&amp;L113&amp;M113&amp;N113&amp;O113&amp;P113,'[2]2.4 wsLookup'!$M$2:$M$96,'[2]2.4 wsLookup'!$S$2:$S$96,"Introuvable")</f>
        <v>20000</v>
      </c>
      <c r="AK113" t="str">
        <f t="shared" si="10"/>
        <v>en localité|-|-|-|-|Route Principale|Circulation mixte|non|non|non|Piste cyclable|-</v>
      </c>
      <c r="AO113" t="s">
        <v>1789</v>
      </c>
    </row>
    <row r="114" spans="1:41" ht="39" customHeight="1">
      <c r="A114" s="1"/>
      <c r="B114" s="1"/>
      <c r="C114" s="188" t="s">
        <v>1824</v>
      </c>
      <c r="D114" s="224" t="s">
        <v>1678</v>
      </c>
      <c r="E114" s="225" t="s">
        <v>1679</v>
      </c>
      <c r="F114" s="225" t="s">
        <v>256</v>
      </c>
      <c r="G114" s="225" t="s">
        <v>256</v>
      </c>
      <c r="H114" s="225" t="s">
        <v>256</v>
      </c>
      <c r="I114" s="225" t="s">
        <v>256</v>
      </c>
      <c r="J114" s="320" t="s">
        <v>1776</v>
      </c>
      <c r="K114" s="224" t="s">
        <v>1777</v>
      </c>
      <c r="L114" s="224" t="s">
        <v>1673</v>
      </c>
      <c r="M114" s="224" t="s">
        <v>1673</v>
      </c>
      <c r="N114" s="224" t="s">
        <v>1673</v>
      </c>
      <c r="O114" s="320" t="s">
        <v>1799</v>
      </c>
      <c r="P114" s="226" t="s">
        <v>256</v>
      </c>
      <c r="Q114" s="374">
        <v>5726</v>
      </c>
      <c r="R114" s="323" t="s">
        <v>1673</v>
      </c>
      <c r="S114" s="324" t="str">
        <f t="shared" si="6"/>
        <v>sûr</v>
      </c>
      <c r="T114" s="325" t="str">
        <f t="shared" si="7"/>
        <v>fluide</v>
      </c>
      <c r="U114" s="228" t="s">
        <v>1673</v>
      </c>
      <c r="V114" s="228" t="s">
        <v>1673</v>
      </c>
      <c r="W114" s="228" t="s">
        <v>1673</v>
      </c>
      <c r="X114" s="229" t="s">
        <v>1673</v>
      </c>
      <c r="Y114" s="288" t="str">
        <f t="shared" si="8"/>
        <v>non</v>
      </c>
      <c r="Z114" s="328" t="str">
        <f t="shared" si="9"/>
        <v>faible</v>
      </c>
      <c r="AA114" s="9"/>
      <c r="AB114" s="1"/>
      <c r="AC114" s="190">
        <f>_xlfn.XLOOKUP(E114&amp;F114&amp;G114&amp;H114&amp;I114&amp;J114&amp;K114&amp;L114&amp;M114&amp;N114&amp;O114&amp;P114,'[2]2.4 wsLookup'!$M$2:$M$96,'[2]2.4 wsLookup'!$N$2:$N$96,"Introuvable")</f>
        <v>2.7999999999999998E-4</v>
      </c>
      <c r="AD114" s="190">
        <f>_xlfn.XLOOKUP(E114&amp;F114&amp;G114&amp;H114&amp;I114&amp;J114&amp;K114&amp;L114&amp;M114&amp;N114&amp;O114&amp;P114,'[2]2.4 wsLookup'!$M$2:$M$96,'[2]2.4 wsLookup'!$O$2:$O$96,"Introuvable")</f>
        <v>0.85</v>
      </c>
      <c r="AE114" s="90">
        <f t="shared" si="11"/>
        <v>0.43785637121406407</v>
      </c>
      <c r="AF114" s="206">
        <f>_xlfn.XLOOKUP(E114&amp;F114&amp;G114&amp;H114&amp;I114&amp;J114&amp;K114&amp;L114&amp;M114&amp;N114&amp;O114&amp;P114,'[2]2.4 wsLookup'!$M$2:$M$96,'[2]2.4 wsLookup'!$Q$2:$Q$96,"Introuvable")</f>
        <v>1.6401708719887149</v>
      </c>
      <c r="AG114" s="91">
        <f>_xlfn.XLOOKUP(E114&amp;F114&amp;G114&amp;H114&amp;I114&amp;J114&amp;K114&amp;L114&amp;M114&amp;N114&amp;O114&amp;P114,'[2]2.4 wsLookup'!$M$2:$M$96,'[2]2.4 wsLookup'!$P$2:$P$96,"Introuvable")</f>
        <v>6.6000000000000003E-2</v>
      </c>
      <c r="AH114" s="91">
        <f>_xlfn.XLOOKUP(E114&amp;F114&amp;G114&amp;H114&amp;I114&amp;J114&amp;K114&amp;L114&amp;M114&amp;N114&amp;O114&amp;P114,'[2]2.4 wsLookup'!$M$2:$M$96,'[2]2.4 wsLookup'!$R$2:$R$96,"Introuvable")</f>
        <v>6.6000000000000003E-2</v>
      </c>
      <c r="AI114" s="193">
        <f>_xlfn.XLOOKUP(E114&amp;F114&amp;G114&amp;H114&amp;I114&amp;J114&amp;K114&amp;L114&amp;M114&amp;N114&amp;O114&amp;P114,'[2]2.4 wsLookup'!$M$2:$M$96,'[2]2.4 wsLookup'!$S$2:$S$96,"Introuvable")</f>
        <v>20000</v>
      </c>
      <c r="AK114" t="str">
        <f t="shared" si="10"/>
        <v>en localité|-|-|-|-|Route Principale|Circulation mixte|non|non|non|Piste cyclable|-</v>
      </c>
      <c r="AO114" t="s">
        <v>1789</v>
      </c>
    </row>
    <row r="115" spans="1:41" ht="39" customHeight="1">
      <c r="A115" s="1"/>
      <c r="B115" s="1"/>
      <c r="C115" s="188" t="s">
        <v>1825</v>
      </c>
      <c r="D115" s="224" t="s">
        <v>1678</v>
      </c>
      <c r="E115" s="225" t="s">
        <v>1705</v>
      </c>
      <c r="F115" s="225" t="s">
        <v>256</v>
      </c>
      <c r="G115" s="225" t="s">
        <v>256</v>
      </c>
      <c r="H115" s="225" t="s">
        <v>256</v>
      </c>
      <c r="I115" s="225" t="s">
        <v>256</v>
      </c>
      <c r="J115" s="320" t="s">
        <v>1776</v>
      </c>
      <c r="K115" s="224" t="s">
        <v>1777</v>
      </c>
      <c r="L115" s="224" t="s">
        <v>1673</v>
      </c>
      <c r="M115" s="224" t="s">
        <v>256</v>
      </c>
      <c r="N115" s="224" t="s">
        <v>256</v>
      </c>
      <c r="O115" s="320" t="s">
        <v>1799</v>
      </c>
      <c r="P115" s="226" t="s">
        <v>256</v>
      </c>
      <c r="Q115" s="374">
        <v>12800</v>
      </c>
      <c r="R115" s="323" t="s">
        <v>1673</v>
      </c>
      <c r="S115" s="324" t="str">
        <f t="shared" si="6"/>
        <v>sûr</v>
      </c>
      <c r="T115" s="325" t="str">
        <f t="shared" si="7"/>
        <v>fluide</v>
      </c>
      <c r="U115" s="228" t="s">
        <v>1673</v>
      </c>
      <c r="V115" s="228" t="s">
        <v>1673</v>
      </c>
      <c r="W115" s="228" t="s">
        <v>1673</v>
      </c>
      <c r="X115" s="229" t="s">
        <v>1673</v>
      </c>
      <c r="Y115" s="288" t="str">
        <f t="shared" si="8"/>
        <v>non</v>
      </c>
      <c r="Z115" s="328" t="str">
        <f t="shared" si="9"/>
        <v>faible</v>
      </c>
      <c r="AA115" s="9"/>
      <c r="AB115" s="1"/>
      <c r="AC115" s="190">
        <f>_xlfn.XLOOKUP(E115&amp;F115&amp;G115&amp;H115&amp;I115&amp;J115&amp;K115&amp;L115&amp;M115&amp;N115&amp;O115&amp;P115,'[2]2.4 wsLookup'!$M$2:$M$96,'[2]2.4 wsLookup'!$N$2:$N$96,"Introuvable")</f>
        <v>1.8100000000000002E-3</v>
      </c>
      <c r="AD115" s="190">
        <f>_xlfn.XLOOKUP(E115&amp;F115&amp;G115&amp;H115&amp;I115&amp;J115&amp;K115&amp;L115&amp;M115&amp;N115&amp;O115&amp;P115,'[2]2.4 wsLookup'!$M$2:$M$96,'[2]2.4 wsLookup'!$O$2:$O$96,"Introuvable")</f>
        <v>0.61</v>
      </c>
      <c r="AE115" s="90">
        <f t="shared" si="11"/>
        <v>0.57953097912569174</v>
      </c>
      <c r="AF115" s="206">
        <f>_xlfn.XLOOKUP(E115&amp;F115&amp;G115&amp;H115&amp;I115&amp;J115&amp;K115&amp;L115&amp;M115&amp;N115&amp;O115&amp;P115,'[2]2.4 wsLookup'!$M$2:$M$96,'[2]2.4 wsLookup'!$Q$2:$Q$96,"Introuvable")</f>
        <v>0.76086371289166055</v>
      </c>
      <c r="AG115" s="91">
        <f>_xlfn.XLOOKUP(E115&amp;F115&amp;G115&amp;H115&amp;I115&amp;J115&amp;K115&amp;L115&amp;M115&amp;N115&amp;O115&amp;P115,'[2]2.4 wsLookup'!$M$2:$M$96,'[2]2.4 wsLookup'!$P$2:$P$96,"Introuvable")</f>
        <v>6.7000000000000004E-2</v>
      </c>
      <c r="AH115" s="91">
        <f>_xlfn.XLOOKUP(E115&amp;F115&amp;G115&amp;H115&amp;I115&amp;J115&amp;K115&amp;L115&amp;M115&amp;N115&amp;O115&amp;P115,'[2]2.4 wsLookup'!$M$2:$M$96,'[2]2.4 wsLookup'!$R$2:$R$96,"Introuvable")</f>
        <v>6.8499999999999991E-2</v>
      </c>
      <c r="AI115" s="193">
        <f>_xlfn.XLOOKUP(E115&amp;F115&amp;G115&amp;H115&amp;I115&amp;J115&amp;K115&amp;L115&amp;M115&amp;N115&amp;O115&amp;P115,'[2]2.4 wsLookup'!$M$2:$M$96,'[2]2.4 wsLookup'!$S$2:$S$96,"Introuvable")</f>
        <v>20000</v>
      </c>
      <c r="AK115" t="str">
        <f t="shared" si="10"/>
        <v>hors localité|-|-|-|-|Route Principale|Circulation mixte|non|-|-|Piste cyclable|-</v>
      </c>
      <c r="AO115" t="s">
        <v>1804</v>
      </c>
    </row>
    <row r="116" spans="1:41" ht="39" customHeight="1">
      <c r="A116" s="1"/>
      <c r="B116" s="1"/>
      <c r="C116" s="188" t="s">
        <v>1826</v>
      </c>
      <c r="D116" s="224" t="s">
        <v>1678</v>
      </c>
      <c r="E116" s="225" t="s">
        <v>1705</v>
      </c>
      <c r="F116" s="225" t="s">
        <v>256</v>
      </c>
      <c r="G116" s="225" t="s">
        <v>256</v>
      </c>
      <c r="H116" s="225" t="s">
        <v>256</v>
      </c>
      <c r="I116" s="225" t="s">
        <v>256</v>
      </c>
      <c r="J116" s="320" t="s">
        <v>1776</v>
      </c>
      <c r="K116" s="224" t="s">
        <v>1777</v>
      </c>
      <c r="L116" s="224" t="s">
        <v>1674</v>
      </c>
      <c r="M116" s="224" t="s">
        <v>256</v>
      </c>
      <c r="N116" s="224" t="s">
        <v>256</v>
      </c>
      <c r="O116" s="320" t="s">
        <v>1799</v>
      </c>
      <c r="P116" s="226" t="s">
        <v>256</v>
      </c>
      <c r="Q116" s="374">
        <v>5726</v>
      </c>
      <c r="R116" s="323" t="s">
        <v>1673</v>
      </c>
      <c r="S116" s="324" t="str">
        <f t="shared" si="6"/>
        <v>sûr</v>
      </c>
      <c r="T116" s="325" t="str">
        <f t="shared" si="7"/>
        <v>fluide</v>
      </c>
      <c r="U116" s="228" t="s">
        <v>1673</v>
      </c>
      <c r="V116" s="228" t="s">
        <v>1673</v>
      </c>
      <c r="W116" s="228" t="s">
        <v>1673</v>
      </c>
      <c r="X116" s="229" t="s">
        <v>1673</v>
      </c>
      <c r="Y116" s="288" t="str">
        <f t="shared" si="8"/>
        <v>non</v>
      </c>
      <c r="Z116" s="328" t="str">
        <f t="shared" si="9"/>
        <v>faible</v>
      </c>
      <c r="AA116" s="9"/>
      <c r="AB116" s="1"/>
      <c r="AC116" s="190">
        <f>_xlfn.XLOOKUP(E116&amp;F116&amp;G116&amp;H116&amp;I116&amp;J116&amp;K116&amp;L116&amp;M116&amp;N116&amp;O116&amp;P116,'[2]2.4 wsLookup'!$M$2:$M$96,'[2]2.4 wsLookup'!$N$2:$N$96,"Introuvable")</f>
        <v>1.8100000000000002E-3</v>
      </c>
      <c r="AD116" s="190">
        <f>_xlfn.XLOOKUP(E116&amp;F116&amp;G116&amp;H116&amp;I116&amp;J116&amp;K116&amp;L116&amp;M116&amp;N116&amp;O116&amp;P116,'[2]2.4 wsLookup'!$M$2:$M$96,'[2]2.4 wsLookup'!$O$2:$O$96,"Introuvable")</f>
        <v>0.61</v>
      </c>
      <c r="AE116" s="90">
        <f t="shared" si="11"/>
        <v>0.35478716040838093</v>
      </c>
      <c r="AF116" s="206">
        <f>_xlfn.XLOOKUP(E116&amp;F116&amp;G116&amp;H116&amp;I116&amp;J116&amp;K116&amp;L116&amp;M116&amp;N116&amp;O116&amp;P116,'[2]2.4 wsLookup'!$M$2:$M$96,'[2]2.4 wsLookup'!$Q$2:$Q$96,"Introuvable")</f>
        <v>0.76086371289166055</v>
      </c>
      <c r="AG116" s="91">
        <f>_xlfn.XLOOKUP(E116&amp;F116&amp;G116&amp;H116&amp;I116&amp;J116&amp;K116&amp;L116&amp;M116&amp;N116&amp;O116&amp;P116,'[2]2.4 wsLookup'!$M$2:$M$96,'[2]2.4 wsLookup'!$P$2:$P$96,"Introuvable")</f>
        <v>0.06</v>
      </c>
      <c r="AH116" s="91">
        <f>_xlfn.XLOOKUP(E116&amp;F116&amp;G116&amp;H116&amp;I116&amp;J116&amp;K116&amp;L116&amp;M116&amp;N116&amp;O116&amp;P116,'[2]2.4 wsLookup'!$M$2:$M$96,'[2]2.4 wsLookup'!$R$2:$R$96,"Introuvable")</f>
        <v>6.8499999999999991E-2</v>
      </c>
      <c r="AI116" s="193">
        <f>_xlfn.XLOOKUP(E116&amp;F116&amp;G116&amp;H116&amp;I116&amp;J116&amp;K116&amp;L116&amp;M116&amp;N116&amp;O116&amp;P116,'[2]2.4 wsLookup'!$M$2:$M$96,'[2]2.4 wsLookup'!$S$2:$S$96,"Introuvable")</f>
        <v>18000</v>
      </c>
      <c r="AK116" t="str">
        <f t="shared" si="10"/>
        <v>hors localité|-|-|-|-|Route Principale|Circulation mixte|oui|-|-|Piste cyclable|-</v>
      </c>
      <c r="AO116" t="s">
        <v>1804</v>
      </c>
    </row>
    <row r="117" spans="1:41" ht="39" customHeight="1">
      <c r="A117" s="1"/>
      <c r="B117" s="1"/>
      <c r="C117" s="188" t="s">
        <v>1827</v>
      </c>
      <c r="D117" s="224" t="s">
        <v>1678</v>
      </c>
      <c r="E117" s="225" t="s">
        <v>1679</v>
      </c>
      <c r="F117" s="225" t="s">
        <v>256</v>
      </c>
      <c r="G117" s="225" t="s">
        <v>256</v>
      </c>
      <c r="H117" s="225" t="s">
        <v>256</v>
      </c>
      <c r="I117" s="225" t="s">
        <v>256</v>
      </c>
      <c r="J117" s="320" t="s">
        <v>1776</v>
      </c>
      <c r="K117" s="224" t="s">
        <v>1777</v>
      </c>
      <c r="L117" s="224" t="s">
        <v>1673</v>
      </c>
      <c r="M117" s="224" t="s">
        <v>1673</v>
      </c>
      <c r="N117" s="224" t="s">
        <v>1673</v>
      </c>
      <c r="O117" s="320" t="s">
        <v>1799</v>
      </c>
      <c r="P117" s="226" t="s">
        <v>256</v>
      </c>
      <c r="Q117" s="374">
        <v>5965</v>
      </c>
      <c r="R117" s="323" t="s">
        <v>1673</v>
      </c>
      <c r="S117" s="324" t="str">
        <f t="shared" si="6"/>
        <v>sûr</v>
      </c>
      <c r="T117" s="325" t="str">
        <f t="shared" si="7"/>
        <v>fluide</v>
      </c>
      <c r="U117" s="228" t="s">
        <v>1673</v>
      </c>
      <c r="V117" s="228" t="s">
        <v>1673</v>
      </c>
      <c r="W117" s="228" t="s">
        <v>1673</v>
      </c>
      <c r="X117" s="229" t="s">
        <v>1673</v>
      </c>
      <c r="Y117" s="288" t="str">
        <f t="shared" si="8"/>
        <v>non</v>
      </c>
      <c r="Z117" s="328" t="str">
        <f t="shared" si="9"/>
        <v>faible</v>
      </c>
      <c r="AA117" s="9"/>
      <c r="AB117" s="1"/>
      <c r="AC117" s="190">
        <f>_xlfn.XLOOKUP(E117&amp;F117&amp;G117&amp;H117&amp;I117&amp;J117&amp;K117&amp;L117&amp;M117&amp;N117&amp;O117&amp;P117,'[2]2.4 wsLookup'!$M$2:$M$96,'[2]2.4 wsLookup'!$N$2:$N$96,"Introuvable")</f>
        <v>2.7999999999999998E-4</v>
      </c>
      <c r="AD117" s="190">
        <f>_xlfn.XLOOKUP(E117&amp;F117&amp;G117&amp;H117&amp;I117&amp;J117&amp;K117&amp;L117&amp;M117&amp;N117&amp;O117&amp;P117,'[2]2.4 wsLookup'!$M$2:$M$96,'[2]2.4 wsLookup'!$O$2:$O$96,"Introuvable")</f>
        <v>0.85</v>
      </c>
      <c r="AE117" s="90">
        <f t="shared" si="11"/>
        <v>0.45334299781274234</v>
      </c>
      <c r="AF117" s="206">
        <f>_xlfn.XLOOKUP(E117&amp;F117&amp;G117&amp;H117&amp;I117&amp;J117&amp;K117&amp;L117&amp;M117&amp;N117&amp;O117&amp;P117,'[2]2.4 wsLookup'!$M$2:$M$96,'[2]2.4 wsLookup'!$Q$2:$Q$96,"Introuvable")</f>
        <v>1.6401708719887149</v>
      </c>
      <c r="AG117" s="91">
        <f>_xlfn.XLOOKUP(E117&amp;F117&amp;G117&amp;H117&amp;I117&amp;J117&amp;K117&amp;L117&amp;M117&amp;N117&amp;O117&amp;P117,'[2]2.4 wsLookup'!$M$2:$M$96,'[2]2.4 wsLookup'!$P$2:$P$96,"Introuvable")</f>
        <v>6.6000000000000003E-2</v>
      </c>
      <c r="AH117" s="91">
        <f>_xlfn.XLOOKUP(E117&amp;F117&amp;G117&amp;H117&amp;I117&amp;J117&amp;K117&amp;L117&amp;M117&amp;N117&amp;O117&amp;P117,'[2]2.4 wsLookup'!$M$2:$M$96,'[2]2.4 wsLookup'!$R$2:$R$96,"Introuvable")</f>
        <v>6.6000000000000003E-2</v>
      </c>
      <c r="AI117" s="193">
        <f>_xlfn.XLOOKUP(E117&amp;F117&amp;G117&amp;H117&amp;I117&amp;J117&amp;K117&amp;L117&amp;M117&amp;N117&amp;O117&amp;P117,'[2]2.4 wsLookup'!$M$2:$M$96,'[2]2.4 wsLookup'!$S$2:$S$96,"Introuvable")</f>
        <v>20000</v>
      </c>
      <c r="AK117" t="str">
        <f t="shared" si="10"/>
        <v>en localité|-|-|-|-|Route Principale|Circulation mixte|non|non|non|Piste cyclable|-</v>
      </c>
      <c r="AO117" t="s">
        <v>1789</v>
      </c>
    </row>
    <row r="118" spans="1:41" ht="39" customHeight="1">
      <c r="A118" s="1"/>
      <c r="B118" s="1"/>
      <c r="C118" s="188" t="s">
        <v>1828</v>
      </c>
      <c r="D118" s="224" t="s">
        <v>1678</v>
      </c>
      <c r="E118" s="225" t="s">
        <v>1705</v>
      </c>
      <c r="F118" s="225" t="s">
        <v>256</v>
      </c>
      <c r="G118" s="225" t="s">
        <v>256</v>
      </c>
      <c r="H118" s="225" t="s">
        <v>256</v>
      </c>
      <c r="I118" s="225" t="s">
        <v>256</v>
      </c>
      <c r="J118" s="320" t="s">
        <v>1776</v>
      </c>
      <c r="K118" s="224" t="s">
        <v>1777</v>
      </c>
      <c r="L118" s="224" t="s">
        <v>1673</v>
      </c>
      <c r="M118" s="224" t="s">
        <v>256</v>
      </c>
      <c r="N118" s="224" t="s">
        <v>256</v>
      </c>
      <c r="O118" s="320" t="s">
        <v>1799</v>
      </c>
      <c r="P118" s="226" t="s">
        <v>256</v>
      </c>
      <c r="Q118" s="374">
        <v>6835</v>
      </c>
      <c r="R118" s="323" t="s">
        <v>1673</v>
      </c>
      <c r="S118" s="324" t="str">
        <f t="shared" si="6"/>
        <v>sûr</v>
      </c>
      <c r="T118" s="325" t="str">
        <f t="shared" si="7"/>
        <v>fluide</v>
      </c>
      <c r="U118" s="228" t="s">
        <v>1673</v>
      </c>
      <c r="V118" s="228" t="s">
        <v>1673</v>
      </c>
      <c r="W118" s="228" t="s">
        <v>1673</v>
      </c>
      <c r="X118" s="229" t="s">
        <v>1673</v>
      </c>
      <c r="Y118" s="288" t="str">
        <f t="shared" si="8"/>
        <v>non</v>
      </c>
      <c r="Z118" s="328" t="str">
        <f t="shared" si="9"/>
        <v>faible</v>
      </c>
      <c r="AA118" s="9"/>
      <c r="AB118" s="1"/>
      <c r="AC118" s="190">
        <f>_xlfn.XLOOKUP(E118&amp;F118&amp;G118&amp;H118&amp;I118&amp;J118&amp;K118&amp;L118&amp;M118&amp;N118&amp;O118&amp;P118,'[2]2.4 wsLookup'!$M$2:$M$96,'[2]2.4 wsLookup'!$N$2:$N$96,"Introuvable")</f>
        <v>1.8100000000000002E-3</v>
      </c>
      <c r="AD118" s="190">
        <f>_xlfn.XLOOKUP(E118&amp;F118&amp;G118&amp;H118&amp;I118&amp;J118&amp;K118&amp;L118&amp;M118&amp;N118&amp;O118&amp;P118,'[2]2.4 wsLookup'!$M$2:$M$96,'[2]2.4 wsLookup'!$O$2:$O$96,"Introuvable")</f>
        <v>0.61</v>
      </c>
      <c r="AE118" s="90">
        <f t="shared" si="11"/>
        <v>0.39524744518125332</v>
      </c>
      <c r="AF118" s="206">
        <f>_xlfn.XLOOKUP(E118&amp;F118&amp;G118&amp;H118&amp;I118&amp;J118&amp;K118&amp;L118&amp;M118&amp;N118&amp;O118&amp;P118,'[2]2.4 wsLookup'!$M$2:$M$96,'[2]2.4 wsLookup'!$Q$2:$Q$96,"Introuvable")</f>
        <v>0.76086371289166055</v>
      </c>
      <c r="AG118" s="91">
        <f>_xlfn.XLOOKUP(E118&amp;F118&amp;G118&amp;H118&amp;I118&amp;J118&amp;K118&amp;L118&amp;M118&amp;N118&amp;O118&amp;P118,'[2]2.4 wsLookup'!$M$2:$M$96,'[2]2.4 wsLookup'!$P$2:$P$96,"Introuvable")</f>
        <v>6.7000000000000004E-2</v>
      </c>
      <c r="AH118" s="91">
        <f>_xlfn.XLOOKUP(E118&amp;F118&amp;G118&amp;H118&amp;I118&amp;J118&amp;K118&amp;L118&amp;M118&amp;N118&amp;O118&amp;P118,'[2]2.4 wsLookup'!$M$2:$M$96,'[2]2.4 wsLookup'!$R$2:$R$96,"Introuvable")</f>
        <v>6.8499999999999991E-2</v>
      </c>
      <c r="AI118" s="193">
        <f>_xlfn.XLOOKUP(E118&amp;F118&amp;G118&amp;H118&amp;I118&amp;J118&amp;K118&amp;L118&amp;M118&amp;N118&amp;O118&amp;P118,'[2]2.4 wsLookup'!$M$2:$M$96,'[2]2.4 wsLookup'!$S$2:$S$96,"Introuvable")</f>
        <v>20000</v>
      </c>
      <c r="AK118" t="str">
        <f t="shared" si="10"/>
        <v>hors localité|-|-|-|-|Route Principale|Circulation mixte|non|-|-|Piste cyclable|-</v>
      </c>
      <c r="AO118" t="s">
        <v>1804</v>
      </c>
    </row>
    <row r="119" spans="1:41" ht="39" customHeight="1">
      <c r="A119" s="1"/>
      <c r="B119" s="1"/>
      <c r="C119" s="188" t="s">
        <v>1829</v>
      </c>
      <c r="D119" s="224" t="s">
        <v>1678</v>
      </c>
      <c r="E119" s="225" t="s">
        <v>1679</v>
      </c>
      <c r="F119" s="225" t="s">
        <v>256</v>
      </c>
      <c r="G119" s="225" t="s">
        <v>256</v>
      </c>
      <c r="H119" s="225" t="s">
        <v>256</v>
      </c>
      <c r="I119" s="225" t="s">
        <v>256</v>
      </c>
      <c r="J119" s="320" t="s">
        <v>1776</v>
      </c>
      <c r="K119" s="224" t="s">
        <v>1777</v>
      </c>
      <c r="L119" s="224" t="s">
        <v>1673</v>
      </c>
      <c r="M119" s="224" t="s">
        <v>1673</v>
      </c>
      <c r="N119" s="224" t="s">
        <v>1673</v>
      </c>
      <c r="O119" s="320" t="s">
        <v>1799</v>
      </c>
      <c r="P119" s="226" t="s">
        <v>256</v>
      </c>
      <c r="Q119" s="374">
        <v>6596</v>
      </c>
      <c r="R119" s="323" t="s">
        <v>1673</v>
      </c>
      <c r="S119" s="324" t="str">
        <f t="shared" si="6"/>
        <v>sûr</v>
      </c>
      <c r="T119" s="325" t="str">
        <f t="shared" si="7"/>
        <v>fluide</v>
      </c>
      <c r="U119" s="228" t="s">
        <v>1673</v>
      </c>
      <c r="V119" s="228" t="s">
        <v>1673</v>
      </c>
      <c r="W119" s="228" t="s">
        <v>1673</v>
      </c>
      <c r="X119" s="229" t="s">
        <v>1673</v>
      </c>
      <c r="Y119" s="288" t="str">
        <f t="shared" si="8"/>
        <v>non</v>
      </c>
      <c r="Z119" s="328" t="str">
        <f t="shared" si="9"/>
        <v>faible</v>
      </c>
      <c r="AA119" s="9"/>
      <c r="AB119" s="1"/>
      <c r="AC119" s="190">
        <f>_xlfn.XLOOKUP(E119&amp;F119&amp;G119&amp;H119&amp;I119&amp;J119&amp;K119&amp;L119&amp;M119&amp;N119&amp;O119&amp;P119,'[2]2.4 wsLookup'!$M$2:$M$96,'[2]2.4 wsLookup'!$N$2:$N$96,"Introuvable")</f>
        <v>2.7999999999999998E-4</v>
      </c>
      <c r="AD119" s="190">
        <f>_xlfn.XLOOKUP(E119&amp;F119&amp;G119&amp;H119&amp;I119&amp;J119&amp;K119&amp;L119&amp;M119&amp;N119&amp;O119&amp;P119,'[2]2.4 wsLookup'!$M$2:$M$96,'[2]2.4 wsLookup'!$O$2:$O$96,"Introuvable")</f>
        <v>0.85</v>
      </c>
      <c r="AE119" s="90">
        <f t="shared" si="11"/>
        <v>0.49379487853225612</v>
      </c>
      <c r="AF119" s="206">
        <f>_xlfn.XLOOKUP(E119&amp;F119&amp;G119&amp;H119&amp;I119&amp;J119&amp;K119&amp;L119&amp;M119&amp;N119&amp;O119&amp;P119,'[2]2.4 wsLookup'!$M$2:$M$96,'[2]2.4 wsLookup'!$Q$2:$Q$96,"Introuvable")</f>
        <v>1.6401708719887149</v>
      </c>
      <c r="AG119" s="91">
        <f>_xlfn.XLOOKUP(E119&amp;F119&amp;G119&amp;H119&amp;I119&amp;J119&amp;K119&amp;L119&amp;M119&amp;N119&amp;O119&amp;P119,'[2]2.4 wsLookup'!$M$2:$M$96,'[2]2.4 wsLookup'!$P$2:$P$96,"Introuvable")</f>
        <v>6.6000000000000003E-2</v>
      </c>
      <c r="AH119" s="91">
        <f>_xlfn.XLOOKUP(E119&amp;F119&amp;G119&amp;H119&amp;I119&amp;J119&amp;K119&amp;L119&amp;M119&amp;N119&amp;O119&amp;P119,'[2]2.4 wsLookup'!$M$2:$M$96,'[2]2.4 wsLookup'!$R$2:$R$96,"Introuvable")</f>
        <v>6.6000000000000003E-2</v>
      </c>
      <c r="AI119" s="193">
        <f>_xlfn.XLOOKUP(E119&amp;F119&amp;G119&amp;H119&amp;I119&amp;J119&amp;K119&amp;L119&amp;M119&amp;N119&amp;O119&amp;P119,'[2]2.4 wsLookup'!$M$2:$M$96,'[2]2.4 wsLookup'!$S$2:$S$96,"Introuvable")</f>
        <v>20000</v>
      </c>
      <c r="AK119" t="str">
        <f t="shared" si="10"/>
        <v>en localité|-|-|-|-|Route Principale|Circulation mixte|non|non|non|Piste cyclable|-</v>
      </c>
      <c r="AO119" t="s">
        <v>1789</v>
      </c>
    </row>
    <row r="120" spans="1:41" ht="39" customHeight="1">
      <c r="A120" s="1"/>
      <c r="B120" s="1"/>
      <c r="C120" s="188" t="s">
        <v>1830</v>
      </c>
      <c r="D120" s="224" t="s">
        <v>1678</v>
      </c>
      <c r="E120" s="225" t="s">
        <v>1679</v>
      </c>
      <c r="F120" s="225" t="s">
        <v>256</v>
      </c>
      <c r="G120" s="225" t="s">
        <v>256</v>
      </c>
      <c r="H120" s="225" t="s">
        <v>256</v>
      </c>
      <c r="I120" s="225" t="s">
        <v>256</v>
      </c>
      <c r="J120" s="320" t="s">
        <v>1776</v>
      </c>
      <c r="K120" s="224" t="s">
        <v>1777</v>
      </c>
      <c r="L120" s="224" t="s">
        <v>1673</v>
      </c>
      <c r="M120" s="224" t="s">
        <v>1673</v>
      </c>
      <c r="N120" s="224" t="s">
        <v>1673</v>
      </c>
      <c r="O120" s="320" t="s">
        <v>1799</v>
      </c>
      <c r="P120" s="226" t="s">
        <v>256</v>
      </c>
      <c r="Q120" s="374">
        <v>5726</v>
      </c>
      <c r="R120" s="323" t="s">
        <v>1673</v>
      </c>
      <c r="S120" s="324" t="str">
        <f t="shared" si="6"/>
        <v>sûr</v>
      </c>
      <c r="T120" s="325" t="str">
        <f t="shared" si="7"/>
        <v>fluide</v>
      </c>
      <c r="U120" s="228" t="s">
        <v>1673</v>
      </c>
      <c r="V120" s="228" t="s">
        <v>1673</v>
      </c>
      <c r="W120" s="228" t="s">
        <v>1673</v>
      </c>
      <c r="X120" s="229" t="s">
        <v>1673</v>
      </c>
      <c r="Y120" s="288" t="str">
        <f t="shared" si="8"/>
        <v>non</v>
      </c>
      <c r="Z120" s="328" t="str">
        <f t="shared" si="9"/>
        <v>faible</v>
      </c>
      <c r="AA120" s="9"/>
      <c r="AB120" s="1"/>
      <c r="AC120" s="190">
        <f>_xlfn.XLOOKUP(E120&amp;F120&amp;G120&amp;H120&amp;I120&amp;J120&amp;K120&amp;L120&amp;M120&amp;N120&amp;O120&amp;P120,'[2]2.4 wsLookup'!$M$2:$M$96,'[2]2.4 wsLookup'!$N$2:$N$96,"Introuvable")</f>
        <v>2.7999999999999998E-4</v>
      </c>
      <c r="AD120" s="190">
        <f>_xlfn.XLOOKUP(E120&amp;F120&amp;G120&amp;H120&amp;I120&amp;J120&amp;K120&amp;L120&amp;M120&amp;N120&amp;O120&amp;P120,'[2]2.4 wsLookup'!$M$2:$M$96,'[2]2.4 wsLookup'!$O$2:$O$96,"Introuvable")</f>
        <v>0.85</v>
      </c>
      <c r="AE120" s="90">
        <f t="shared" si="11"/>
        <v>0.43785637121406407</v>
      </c>
      <c r="AF120" s="206">
        <f>_xlfn.XLOOKUP(E120&amp;F120&amp;G120&amp;H120&amp;I120&amp;J120&amp;K120&amp;L120&amp;M120&amp;N120&amp;O120&amp;P120,'[2]2.4 wsLookup'!$M$2:$M$96,'[2]2.4 wsLookup'!$Q$2:$Q$96,"Introuvable")</f>
        <v>1.6401708719887149</v>
      </c>
      <c r="AG120" s="91">
        <f>_xlfn.XLOOKUP(E120&amp;F120&amp;G120&amp;H120&amp;I120&amp;J120&amp;K120&amp;L120&amp;M120&amp;N120&amp;O120&amp;P120,'[2]2.4 wsLookup'!$M$2:$M$96,'[2]2.4 wsLookup'!$P$2:$P$96,"Introuvable")</f>
        <v>6.6000000000000003E-2</v>
      </c>
      <c r="AH120" s="91">
        <f>_xlfn.XLOOKUP(E120&amp;F120&amp;G120&amp;H120&amp;I120&amp;J120&amp;K120&amp;L120&amp;M120&amp;N120&amp;O120&amp;P120,'[2]2.4 wsLookup'!$M$2:$M$96,'[2]2.4 wsLookup'!$R$2:$R$96,"Introuvable")</f>
        <v>6.6000000000000003E-2</v>
      </c>
      <c r="AI120" s="193">
        <f>_xlfn.XLOOKUP(E120&amp;F120&amp;G120&amp;H120&amp;I120&amp;J120&amp;K120&amp;L120&amp;M120&amp;N120&amp;O120&amp;P120,'[2]2.4 wsLookup'!$M$2:$M$96,'[2]2.4 wsLookup'!$S$2:$S$96,"Introuvable")</f>
        <v>20000</v>
      </c>
      <c r="AK120" t="str">
        <f t="shared" si="10"/>
        <v>en localité|-|-|-|-|Route Principale|Circulation mixte|non|non|non|Piste cyclable|-</v>
      </c>
      <c r="AO120" t="s">
        <v>1789</v>
      </c>
    </row>
    <row r="121" spans="1:41" ht="39" customHeight="1">
      <c r="A121" s="1"/>
      <c r="B121" s="1"/>
      <c r="C121" s="188" t="s">
        <v>1831</v>
      </c>
      <c r="D121" s="224" t="s">
        <v>1678</v>
      </c>
      <c r="E121" s="225" t="s">
        <v>1679</v>
      </c>
      <c r="F121" s="225" t="s">
        <v>256</v>
      </c>
      <c r="G121" s="225" t="s">
        <v>256</v>
      </c>
      <c r="H121" s="225" t="s">
        <v>256</v>
      </c>
      <c r="I121" s="225" t="s">
        <v>256</v>
      </c>
      <c r="J121" s="320" t="s">
        <v>1776</v>
      </c>
      <c r="K121" s="224" t="s">
        <v>1777</v>
      </c>
      <c r="L121" s="224" t="s">
        <v>1673</v>
      </c>
      <c r="M121" s="224" t="s">
        <v>1673</v>
      </c>
      <c r="N121" s="224" t="s">
        <v>1673</v>
      </c>
      <c r="O121" s="320" t="s">
        <v>1799</v>
      </c>
      <c r="P121" s="226" t="s">
        <v>256</v>
      </c>
      <c r="Q121" s="374">
        <v>5726</v>
      </c>
      <c r="R121" s="323" t="s">
        <v>1673</v>
      </c>
      <c r="S121" s="324" t="str">
        <f t="shared" si="6"/>
        <v>sûr</v>
      </c>
      <c r="T121" s="325" t="str">
        <f t="shared" si="7"/>
        <v>fluide</v>
      </c>
      <c r="U121" s="228" t="s">
        <v>1673</v>
      </c>
      <c r="V121" s="228" t="s">
        <v>1673</v>
      </c>
      <c r="W121" s="228" t="s">
        <v>1673</v>
      </c>
      <c r="X121" s="229" t="s">
        <v>1673</v>
      </c>
      <c r="Y121" s="288" t="str">
        <f t="shared" si="8"/>
        <v>non</v>
      </c>
      <c r="Z121" s="328" t="str">
        <f t="shared" si="9"/>
        <v>faible</v>
      </c>
      <c r="AA121" s="9"/>
      <c r="AB121" s="1"/>
      <c r="AC121" s="190">
        <f>_xlfn.XLOOKUP(E121&amp;F121&amp;G121&amp;H121&amp;I121&amp;J121&amp;K121&amp;L121&amp;M121&amp;N121&amp;O121&amp;P121,'[2]2.4 wsLookup'!$M$2:$M$96,'[2]2.4 wsLookup'!$N$2:$N$96,"Introuvable")</f>
        <v>2.7999999999999998E-4</v>
      </c>
      <c r="AD121" s="190">
        <f>_xlfn.XLOOKUP(E121&amp;F121&amp;G121&amp;H121&amp;I121&amp;J121&amp;K121&amp;L121&amp;M121&amp;N121&amp;O121&amp;P121,'[2]2.4 wsLookup'!$M$2:$M$96,'[2]2.4 wsLookup'!$O$2:$O$96,"Introuvable")</f>
        <v>0.85</v>
      </c>
      <c r="AE121" s="90">
        <f t="shared" si="11"/>
        <v>0.43785637121406407</v>
      </c>
      <c r="AF121" s="206">
        <f>_xlfn.XLOOKUP(E121&amp;F121&amp;G121&amp;H121&amp;I121&amp;J121&amp;K121&amp;L121&amp;M121&amp;N121&amp;O121&amp;P121,'[2]2.4 wsLookup'!$M$2:$M$96,'[2]2.4 wsLookup'!$Q$2:$Q$96,"Introuvable")</f>
        <v>1.6401708719887149</v>
      </c>
      <c r="AG121" s="91">
        <f>_xlfn.XLOOKUP(E121&amp;F121&amp;G121&amp;H121&amp;I121&amp;J121&amp;K121&amp;L121&amp;M121&amp;N121&amp;O121&amp;P121,'[2]2.4 wsLookup'!$M$2:$M$96,'[2]2.4 wsLookup'!$P$2:$P$96,"Introuvable")</f>
        <v>6.6000000000000003E-2</v>
      </c>
      <c r="AH121" s="91">
        <f>_xlfn.XLOOKUP(E121&amp;F121&amp;G121&amp;H121&amp;I121&amp;J121&amp;K121&amp;L121&amp;M121&amp;N121&amp;O121&amp;P121,'[2]2.4 wsLookup'!$M$2:$M$96,'[2]2.4 wsLookup'!$R$2:$R$96,"Introuvable")</f>
        <v>6.6000000000000003E-2</v>
      </c>
      <c r="AI121" s="193">
        <f>_xlfn.XLOOKUP(E121&amp;F121&amp;G121&amp;H121&amp;I121&amp;J121&amp;K121&amp;L121&amp;M121&amp;N121&amp;O121&amp;P121,'[2]2.4 wsLookup'!$M$2:$M$96,'[2]2.4 wsLookup'!$S$2:$S$96,"Introuvable")</f>
        <v>20000</v>
      </c>
      <c r="AK121" t="str">
        <f t="shared" si="10"/>
        <v>en localité|-|-|-|-|Route Principale|Circulation mixte|non|non|non|Piste cyclable|-</v>
      </c>
      <c r="AO121" t="s">
        <v>1789</v>
      </c>
    </row>
    <row r="122" spans="1:41" ht="39" customHeight="1">
      <c r="A122" s="1"/>
      <c r="B122" s="1"/>
      <c r="C122" s="188" t="s">
        <v>1832</v>
      </c>
      <c r="D122" s="224" t="s">
        <v>1678</v>
      </c>
      <c r="E122" s="225" t="s">
        <v>1679</v>
      </c>
      <c r="F122" s="225" t="s">
        <v>256</v>
      </c>
      <c r="G122" s="225" t="s">
        <v>256</v>
      </c>
      <c r="H122" s="225" t="s">
        <v>256</v>
      </c>
      <c r="I122" s="225" t="s">
        <v>256</v>
      </c>
      <c r="J122" s="320" t="s">
        <v>1776</v>
      </c>
      <c r="K122" s="224" t="s">
        <v>1777</v>
      </c>
      <c r="L122" s="224" t="s">
        <v>1673</v>
      </c>
      <c r="M122" s="224" t="s">
        <v>1673</v>
      </c>
      <c r="N122" s="224" t="s">
        <v>1673</v>
      </c>
      <c r="O122" s="320" t="s">
        <v>1799</v>
      </c>
      <c r="P122" s="226" t="s">
        <v>256</v>
      </c>
      <c r="Q122" s="374">
        <v>5965</v>
      </c>
      <c r="R122" s="323" t="s">
        <v>1673</v>
      </c>
      <c r="S122" s="324" t="str">
        <f t="shared" si="6"/>
        <v>sûr</v>
      </c>
      <c r="T122" s="325" t="str">
        <f t="shared" si="7"/>
        <v>fluide</v>
      </c>
      <c r="U122" s="228" t="s">
        <v>1673</v>
      </c>
      <c r="V122" s="228" t="s">
        <v>1673</v>
      </c>
      <c r="W122" s="228" t="s">
        <v>1673</v>
      </c>
      <c r="X122" s="229" t="s">
        <v>1673</v>
      </c>
      <c r="Y122" s="288" t="str">
        <f t="shared" si="8"/>
        <v>non</v>
      </c>
      <c r="Z122" s="328" t="str">
        <f t="shared" si="9"/>
        <v>faible</v>
      </c>
      <c r="AA122" s="9"/>
      <c r="AB122" s="1"/>
      <c r="AC122" s="190">
        <f>_xlfn.XLOOKUP(E122&amp;F122&amp;G122&amp;H122&amp;I122&amp;J122&amp;K122&amp;L122&amp;M122&amp;N122&amp;O122&amp;P122,'[2]2.4 wsLookup'!$M$2:$M$96,'[2]2.4 wsLookup'!$N$2:$N$96,"Introuvable")</f>
        <v>2.7999999999999998E-4</v>
      </c>
      <c r="AD122" s="190">
        <f>_xlfn.XLOOKUP(E122&amp;F122&amp;G122&amp;H122&amp;I122&amp;J122&amp;K122&amp;L122&amp;M122&amp;N122&amp;O122&amp;P122,'[2]2.4 wsLookup'!$M$2:$M$96,'[2]2.4 wsLookup'!$O$2:$O$96,"Introuvable")</f>
        <v>0.85</v>
      </c>
      <c r="AE122" s="90">
        <f t="shared" si="11"/>
        <v>0.45334299781274234</v>
      </c>
      <c r="AF122" s="206">
        <f>_xlfn.XLOOKUP(E122&amp;F122&amp;G122&amp;H122&amp;I122&amp;J122&amp;K122&amp;L122&amp;M122&amp;N122&amp;O122&amp;P122,'[2]2.4 wsLookup'!$M$2:$M$96,'[2]2.4 wsLookup'!$Q$2:$Q$96,"Introuvable")</f>
        <v>1.6401708719887149</v>
      </c>
      <c r="AG122" s="91">
        <f>_xlfn.XLOOKUP(E122&amp;F122&amp;G122&amp;H122&amp;I122&amp;J122&amp;K122&amp;L122&amp;M122&amp;N122&amp;O122&amp;P122,'[2]2.4 wsLookup'!$M$2:$M$96,'[2]2.4 wsLookup'!$P$2:$P$96,"Introuvable")</f>
        <v>6.6000000000000003E-2</v>
      </c>
      <c r="AH122" s="91">
        <f>_xlfn.XLOOKUP(E122&amp;F122&amp;G122&amp;H122&amp;I122&amp;J122&amp;K122&amp;L122&amp;M122&amp;N122&amp;O122&amp;P122,'[2]2.4 wsLookup'!$M$2:$M$96,'[2]2.4 wsLookup'!$R$2:$R$96,"Introuvable")</f>
        <v>6.6000000000000003E-2</v>
      </c>
      <c r="AI122" s="193">
        <f>_xlfn.XLOOKUP(E122&amp;F122&amp;G122&amp;H122&amp;I122&amp;J122&amp;K122&amp;L122&amp;M122&amp;N122&amp;O122&amp;P122,'[2]2.4 wsLookup'!$M$2:$M$96,'[2]2.4 wsLookup'!$S$2:$S$96,"Introuvable")</f>
        <v>20000</v>
      </c>
      <c r="AK122" t="str">
        <f t="shared" si="10"/>
        <v>en localité|-|-|-|-|Route Principale|Circulation mixte|non|non|non|Piste cyclable|-</v>
      </c>
      <c r="AO122" t="s">
        <v>1789</v>
      </c>
    </row>
    <row r="123" spans="1:41" ht="39" customHeight="1">
      <c r="A123" s="1"/>
      <c r="B123" s="1"/>
      <c r="C123" s="188" t="s">
        <v>1833</v>
      </c>
      <c r="D123" s="224" t="s">
        <v>1678</v>
      </c>
      <c r="E123" s="225" t="s">
        <v>1679</v>
      </c>
      <c r="F123" s="225" t="s">
        <v>256</v>
      </c>
      <c r="G123" s="225" t="s">
        <v>256</v>
      </c>
      <c r="H123" s="225" t="s">
        <v>256</v>
      </c>
      <c r="I123" s="225" t="s">
        <v>256</v>
      </c>
      <c r="J123" s="320" t="s">
        <v>1776</v>
      </c>
      <c r="K123" s="224" t="s">
        <v>1777</v>
      </c>
      <c r="L123" s="224" t="s">
        <v>1673</v>
      </c>
      <c r="M123" s="224" t="s">
        <v>1673</v>
      </c>
      <c r="N123" s="224" t="s">
        <v>1673</v>
      </c>
      <c r="O123" s="320" t="s">
        <v>1799</v>
      </c>
      <c r="P123" s="226" t="s">
        <v>256</v>
      </c>
      <c r="Q123" s="374">
        <v>5965</v>
      </c>
      <c r="R123" s="323" t="s">
        <v>1673</v>
      </c>
      <c r="S123" s="324" t="str">
        <f t="shared" si="6"/>
        <v>sûr</v>
      </c>
      <c r="T123" s="325" t="str">
        <f t="shared" si="7"/>
        <v>fluide</v>
      </c>
      <c r="U123" s="228" t="s">
        <v>1673</v>
      </c>
      <c r="V123" s="228" t="s">
        <v>1673</v>
      </c>
      <c r="W123" s="228" t="s">
        <v>1673</v>
      </c>
      <c r="X123" s="229" t="s">
        <v>1673</v>
      </c>
      <c r="Y123" s="288" t="str">
        <f t="shared" si="8"/>
        <v>non</v>
      </c>
      <c r="Z123" s="328" t="str">
        <f t="shared" si="9"/>
        <v>faible</v>
      </c>
      <c r="AA123" s="9"/>
      <c r="AB123" s="1"/>
      <c r="AC123" s="190">
        <f>_xlfn.XLOOKUP(E123&amp;F123&amp;G123&amp;H123&amp;I123&amp;J123&amp;K123&amp;L123&amp;M123&amp;N123&amp;O123&amp;P123,'[2]2.4 wsLookup'!$M$2:$M$96,'[2]2.4 wsLookup'!$N$2:$N$96,"Introuvable")</f>
        <v>2.7999999999999998E-4</v>
      </c>
      <c r="AD123" s="190">
        <f>_xlfn.XLOOKUP(E123&amp;F123&amp;G123&amp;H123&amp;I123&amp;J123&amp;K123&amp;L123&amp;M123&amp;N123&amp;O123&amp;P123,'[2]2.4 wsLookup'!$M$2:$M$96,'[2]2.4 wsLookup'!$O$2:$O$96,"Introuvable")</f>
        <v>0.85</v>
      </c>
      <c r="AE123" s="90">
        <f t="shared" si="11"/>
        <v>0.45334299781274234</v>
      </c>
      <c r="AF123" s="206">
        <f>_xlfn.XLOOKUP(E123&amp;F123&amp;G123&amp;H123&amp;I123&amp;J123&amp;K123&amp;L123&amp;M123&amp;N123&amp;O123&amp;P123,'[2]2.4 wsLookup'!$M$2:$M$96,'[2]2.4 wsLookup'!$Q$2:$Q$96,"Introuvable")</f>
        <v>1.6401708719887149</v>
      </c>
      <c r="AG123" s="91">
        <f>_xlfn.XLOOKUP(E123&amp;F123&amp;G123&amp;H123&amp;I123&amp;J123&amp;K123&amp;L123&amp;M123&amp;N123&amp;O123&amp;P123,'[2]2.4 wsLookup'!$M$2:$M$96,'[2]2.4 wsLookup'!$P$2:$P$96,"Introuvable")</f>
        <v>6.6000000000000003E-2</v>
      </c>
      <c r="AH123" s="91">
        <f>_xlfn.XLOOKUP(E123&amp;F123&amp;G123&amp;H123&amp;I123&amp;J123&amp;K123&amp;L123&amp;M123&amp;N123&amp;O123&amp;P123,'[2]2.4 wsLookup'!$M$2:$M$96,'[2]2.4 wsLookup'!$R$2:$R$96,"Introuvable")</f>
        <v>6.6000000000000003E-2</v>
      </c>
      <c r="AI123" s="193">
        <f>_xlfn.XLOOKUP(E123&amp;F123&amp;G123&amp;H123&amp;I123&amp;J123&amp;K123&amp;L123&amp;M123&amp;N123&amp;O123&amp;P123,'[2]2.4 wsLookup'!$M$2:$M$96,'[2]2.4 wsLookup'!$S$2:$S$96,"Introuvable")</f>
        <v>20000</v>
      </c>
      <c r="AK123" t="str">
        <f t="shared" si="10"/>
        <v>en localité|-|-|-|-|Route Principale|Circulation mixte|non|non|non|Piste cyclable|-</v>
      </c>
      <c r="AO123" t="s">
        <v>1789</v>
      </c>
    </row>
    <row r="124" spans="1:41" ht="39" customHeight="1">
      <c r="A124" s="1"/>
      <c r="B124" s="1"/>
      <c r="C124" s="188" t="s">
        <v>1834</v>
      </c>
      <c r="D124" s="224" t="s">
        <v>1678</v>
      </c>
      <c r="E124" s="225" t="s">
        <v>1679</v>
      </c>
      <c r="F124" s="225" t="s">
        <v>256</v>
      </c>
      <c r="G124" s="225" t="s">
        <v>256</v>
      </c>
      <c r="H124" s="225" t="s">
        <v>256</v>
      </c>
      <c r="I124" s="225" t="s">
        <v>256</v>
      </c>
      <c r="J124" s="320" t="s">
        <v>1776</v>
      </c>
      <c r="K124" s="224" t="s">
        <v>1777</v>
      </c>
      <c r="L124" s="224" t="s">
        <v>1673</v>
      </c>
      <c r="M124" s="224" t="s">
        <v>1673</v>
      </c>
      <c r="N124" s="224" t="s">
        <v>1673</v>
      </c>
      <c r="O124" s="320" t="s">
        <v>1799</v>
      </c>
      <c r="P124" s="226" t="s">
        <v>256</v>
      </c>
      <c r="Q124" s="374">
        <v>6596</v>
      </c>
      <c r="R124" s="323" t="s">
        <v>1673</v>
      </c>
      <c r="S124" s="324" t="str">
        <f t="shared" si="6"/>
        <v>sûr</v>
      </c>
      <c r="T124" s="325" t="str">
        <f t="shared" si="7"/>
        <v>fluide</v>
      </c>
      <c r="U124" s="228" t="s">
        <v>1673</v>
      </c>
      <c r="V124" s="228" t="s">
        <v>1673</v>
      </c>
      <c r="W124" s="228" t="s">
        <v>1673</v>
      </c>
      <c r="X124" s="229" t="s">
        <v>1673</v>
      </c>
      <c r="Y124" s="288" t="str">
        <f t="shared" si="8"/>
        <v>non</v>
      </c>
      <c r="Z124" s="328" t="str">
        <f t="shared" si="9"/>
        <v>faible</v>
      </c>
      <c r="AA124" s="9"/>
      <c r="AB124" s="1"/>
      <c r="AC124" s="190">
        <f>_xlfn.XLOOKUP(E124&amp;F124&amp;G124&amp;H124&amp;I124&amp;J124&amp;K124&amp;L124&amp;M124&amp;N124&amp;O124&amp;P124,'[2]2.4 wsLookup'!$M$2:$M$96,'[2]2.4 wsLookup'!$N$2:$N$96,"Introuvable")</f>
        <v>2.7999999999999998E-4</v>
      </c>
      <c r="AD124" s="190">
        <f>_xlfn.XLOOKUP(E124&amp;F124&amp;G124&amp;H124&amp;I124&amp;J124&amp;K124&amp;L124&amp;M124&amp;N124&amp;O124&amp;P124,'[2]2.4 wsLookup'!$M$2:$M$96,'[2]2.4 wsLookup'!$O$2:$O$96,"Introuvable")</f>
        <v>0.85</v>
      </c>
      <c r="AE124" s="90">
        <f t="shared" si="11"/>
        <v>0.49379487853225612</v>
      </c>
      <c r="AF124" s="206">
        <f>_xlfn.XLOOKUP(E124&amp;F124&amp;G124&amp;H124&amp;I124&amp;J124&amp;K124&amp;L124&amp;M124&amp;N124&amp;O124&amp;P124,'[2]2.4 wsLookup'!$M$2:$M$96,'[2]2.4 wsLookup'!$Q$2:$Q$96,"Introuvable")</f>
        <v>1.6401708719887149</v>
      </c>
      <c r="AG124" s="91">
        <f>_xlfn.XLOOKUP(E124&amp;F124&amp;G124&amp;H124&amp;I124&amp;J124&amp;K124&amp;L124&amp;M124&amp;N124&amp;O124&amp;P124,'[2]2.4 wsLookup'!$M$2:$M$96,'[2]2.4 wsLookup'!$P$2:$P$96,"Introuvable")</f>
        <v>6.6000000000000003E-2</v>
      </c>
      <c r="AH124" s="91">
        <f>_xlfn.XLOOKUP(E124&amp;F124&amp;G124&amp;H124&amp;I124&amp;J124&amp;K124&amp;L124&amp;M124&amp;N124&amp;O124&amp;P124,'[2]2.4 wsLookup'!$M$2:$M$96,'[2]2.4 wsLookup'!$R$2:$R$96,"Introuvable")</f>
        <v>6.6000000000000003E-2</v>
      </c>
      <c r="AI124" s="193">
        <f>_xlfn.XLOOKUP(E124&amp;F124&amp;G124&amp;H124&amp;I124&amp;J124&amp;K124&amp;L124&amp;M124&amp;N124&amp;O124&amp;P124,'[2]2.4 wsLookup'!$M$2:$M$96,'[2]2.4 wsLookup'!$S$2:$S$96,"Introuvable")</f>
        <v>20000</v>
      </c>
      <c r="AK124" t="str">
        <f t="shared" si="10"/>
        <v>en localité|-|-|-|-|Route Principale|Circulation mixte|non|non|non|Piste cyclable|-</v>
      </c>
      <c r="AO124" t="s">
        <v>1789</v>
      </c>
    </row>
    <row r="125" spans="1:41" ht="39" customHeight="1">
      <c r="A125" s="1"/>
      <c r="B125" s="1"/>
      <c r="C125" s="188" t="s">
        <v>1835</v>
      </c>
      <c r="D125" s="224" t="s">
        <v>1678</v>
      </c>
      <c r="E125" s="225" t="s">
        <v>1679</v>
      </c>
      <c r="F125" s="225" t="s">
        <v>256</v>
      </c>
      <c r="G125" s="225" t="s">
        <v>256</v>
      </c>
      <c r="H125" s="225" t="s">
        <v>256</v>
      </c>
      <c r="I125" s="225" t="s">
        <v>256</v>
      </c>
      <c r="J125" s="320" t="s">
        <v>1776</v>
      </c>
      <c r="K125" s="224" t="s">
        <v>1777</v>
      </c>
      <c r="L125" s="224" t="s">
        <v>1673</v>
      </c>
      <c r="M125" s="224" t="s">
        <v>1673</v>
      </c>
      <c r="N125" s="224" t="s">
        <v>1673</v>
      </c>
      <c r="O125" s="320" t="s">
        <v>1799</v>
      </c>
      <c r="P125" s="226" t="s">
        <v>256</v>
      </c>
      <c r="Q125" s="374">
        <v>6835</v>
      </c>
      <c r="R125" s="323" t="s">
        <v>1673</v>
      </c>
      <c r="S125" s="324" t="str">
        <f t="shared" si="6"/>
        <v>sûr</v>
      </c>
      <c r="T125" s="325" t="str">
        <f t="shared" si="7"/>
        <v>fluide</v>
      </c>
      <c r="U125" s="228" t="s">
        <v>1673</v>
      </c>
      <c r="V125" s="228" t="s">
        <v>1673</v>
      </c>
      <c r="W125" s="228" t="s">
        <v>1673</v>
      </c>
      <c r="X125" s="229" t="s">
        <v>1673</v>
      </c>
      <c r="Y125" s="288" t="str">
        <f t="shared" si="8"/>
        <v>non</v>
      </c>
      <c r="Z125" s="328" t="str">
        <f t="shared" si="9"/>
        <v>faible</v>
      </c>
      <c r="AA125" s="9"/>
      <c r="AB125" s="1"/>
      <c r="AC125" s="190">
        <f>_xlfn.XLOOKUP(E125&amp;F125&amp;G125&amp;H125&amp;I125&amp;J125&amp;K125&amp;L125&amp;M125&amp;N125&amp;O125&amp;P125,'[2]2.4 wsLookup'!$M$2:$M$96,'[2]2.4 wsLookup'!$N$2:$N$96,"Introuvable")</f>
        <v>2.7999999999999998E-4</v>
      </c>
      <c r="AD125" s="190">
        <f>_xlfn.XLOOKUP(E125&amp;F125&amp;G125&amp;H125&amp;I125&amp;J125&amp;K125&amp;L125&amp;M125&amp;N125&amp;O125&amp;P125,'[2]2.4 wsLookup'!$M$2:$M$96,'[2]2.4 wsLookup'!$O$2:$O$96,"Introuvable")</f>
        <v>0.85</v>
      </c>
      <c r="AE125" s="90">
        <f t="shared" si="11"/>
        <v>0.50896248524279486</v>
      </c>
      <c r="AF125" s="206">
        <f>_xlfn.XLOOKUP(E125&amp;F125&amp;G125&amp;H125&amp;I125&amp;J125&amp;K125&amp;L125&amp;M125&amp;N125&amp;O125&amp;P125,'[2]2.4 wsLookup'!$M$2:$M$96,'[2]2.4 wsLookup'!$Q$2:$Q$96,"Introuvable")</f>
        <v>1.6401708719887149</v>
      </c>
      <c r="AG125" s="91">
        <f>_xlfn.XLOOKUP(E125&amp;F125&amp;G125&amp;H125&amp;I125&amp;J125&amp;K125&amp;L125&amp;M125&amp;N125&amp;O125&amp;P125,'[2]2.4 wsLookup'!$M$2:$M$96,'[2]2.4 wsLookup'!$P$2:$P$96,"Introuvable")</f>
        <v>6.6000000000000003E-2</v>
      </c>
      <c r="AH125" s="91">
        <f>_xlfn.XLOOKUP(E125&amp;F125&amp;G125&amp;H125&amp;I125&amp;J125&amp;K125&amp;L125&amp;M125&amp;N125&amp;O125&amp;P125,'[2]2.4 wsLookup'!$M$2:$M$96,'[2]2.4 wsLookup'!$R$2:$R$96,"Introuvable")</f>
        <v>6.6000000000000003E-2</v>
      </c>
      <c r="AI125" s="193">
        <f>_xlfn.XLOOKUP(E125&amp;F125&amp;G125&amp;H125&amp;I125&amp;J125&amp;K125&amp;L125&amp;M125&amp;N125&amp;O125&amp;P125,'[2]2.4 wsLookup'!$M$2:$M$96,'[2]2.4 wsLookup'!$S$2:$S$96,"Introuvable")</f>
        <v>20000</v>
      </c>
      <c r="AK125" t="str">
        <f t="shared" si="10"/>
        <v>en localité|-|-|-|-|Route Principale|Circulation mixte|non|non|non|Piste cyclable|-</v>
      </c>
      <c r="AO125" t="s">
        <v>1789</v>
      </c>
    </row>
    <row r="126" spans="1:41" ht="39" customHeight="1">
      <c r="A126" s="1"/>
      <c r="B126" s="1"/>
      <c r="C126" s="188" t="s">
        <v>1836</v>
      </c>
      <c r="D126" s="224" t="s">
        <v>1678</v>
      </c>
      <c r="E126" s="225" t="s">
        <v>1679</v>
      </c>
      <c r="F126" s="225" t="s">
        <v>256</v>
      </c>
      <c r="G126" s="225" t="s">
        <v>256</v>
      </c>
      <c r="H126" s="225" t="s">
        <v>256</v>
      </c>
      <c r="I126" s="225" t="s">
        <v>256</v>
      </c>
      <c r="J126" s="320" t="s">
        <v>1776</v>
      </c>
      <c r="K126" s="224" t="s">
        <v>1777</v>
      </c>
      <c r="L126" s="224" t="s">
        <v>1673</v>
      </c>
      <c r="M126" s="224" t="s">
        <v>1673</v>
      </c>
      <c r="N126" s="224" t="s">
        <v>1673</v>
      </c>
      <c r="O126" s="320" t="s">
        <v>1799</v>
      </c>
      <c r="P126" s="226" t="s">
        <v>256</v>
      </c>
      <c r="Q126" s="374">
        <v>6596</v>
      </c>
      <c r="R126" s="323" t="s">
        <v>1673</v>
      </c>
      <c r="S126" s="324" t="str">
        <f t="shared" si="6"/>
        <v>sûr</v>
      </c>
      <c r="T126" s="325" t="str">
        <f t="shared" si="7"/>
        <v>fluide</v>
      </c>
      <c r="U126" s="228" t="s">
        <v>1673</v>
      </c>
      <c r="V126" s="228" t="s">
        <v>1673</v>
      </c>
      <c r="W126" s="228" t="s">
        <v>1673</v>
      </c>
      <c r="X126" s="229" t="s">
        <v>1673</v>
      </c>
      <c r="Y126" s="288" t="str">
        <f t="shared" si="8"/>
        <v>non</v>
      </c>
      <c r="Z126" s="328" t="str">
        <f t="shared" si="9"/>
        <v>faible</v>
      </c>
      <c r="AA126" s="9"/>
      <c r="AB126" s="1"/>
      <c r="AC126" s="190">
        <f>_xlfn.XLOOKUP(E126&amp;F126&amp;G126&amp;H126&amp;I126&amp;J126&amp;K126&amp;L126&amp;M126&amp;N126&amp;O126&amp;P126,'[2]2.4 wsLookup'!$M$2:$M$96,'[2]2.4 wsLookup'!$N$2:$N$96,"Introuvable")</f>
        <v>2.7999999999999998E-4</v>
      </c>
      <c r="AD126" s="190">
        <f>_xlfn.XLOOKUP(E126&amp;F126&amp;G126&amp;H126&amp;I126&amp;J126&amp;K126&amp;L126&amp;M126&amp;N126&amp;O126&amp;P126,'[2]2.4 wsLookup'!$M$2:$M$96,'[2]2.4 wsLookup'!$O$2:$O$96,"Introuvable")</f>
        <v>0.85</v>
      </c>
      <c r="AE126" s="90">
        <f t="shared" si="11"/>
        <v>0.49379487853225612</v>
      </c>
      <c r="AF126" s="206">
        <f>_xlfn.XLOOKUP(E126&amp;F126&amp;G126&amp;H126&amp;I126&amp;J126&amp;K126&amp;L126&amp;M126&amp;N126&amp;O126&amp;P126,'[2]2.4 wsLookup'!$M$2:$M$96,'[2]2.4 wsLookup'!$Q$2:$Q$96,"Introuvable")</f>
        <v>1.6401708719887149</v>
      </c>
      <c r="AG126" s="91">
        <f>_xlfn.XLOOKUP(E126&amp;F126&amp;G126&amp;H126&amp;I126&amp;J126&amp;K126&amp;L126&amp;M126&amp;N126&amp;O126&amp;P126,'[2]2.4 wsLookup'!$M$2:$M$96,'[2]2.4 wsLookup'!$P$2:$P$96,"Introuvable")</f>
        <v>6.6000000000000003E-2</v>
      </c>
      <c r="AH126" s="91">
        <f>_xlfn.XLOOKUP(E126&amp;F126&amp;G126&amp;H126&amp;I126&amp;J126&amp;K126&amp;L126&amp;M126&amp;N126&amp;O126&amp;P126,'[2]2.4 wsLookup'!$M$2:$M$96,'[2]2.4 wsLookup'!$R$2:$R$96,"Introuvable")</f>
        <v>6.6000000000000003E-2</v>
      </c>
      <c r="AI126" s="193">
        <f>_xlfn.XLOOKUP(E126&amp;F126&amp;G126&amp;H126&amp;I126&amp;J126&amp;K126&amp;L126&amp;M126&amp;N126&amp;O126&amp;P126,'[2]2.4 wsLookup'!$M$2:$M$96,'[2]2.4 wsLookup'!$S$2:$S$96,"Introuvable")</f>
        <v>20000</v>
      </c>
      <c r="AK126" t="str">
        <f t="shared" si="10"/>
        <v>en localité|-|-|-|-|Route Principale|Circulation mixte|non|non|non|Piste cyclable|-</v>
      </c>
      <c r="AO126" t="s">
        <v>1789</v>
      </c>
    </row>
    <row r="127" spans="1:41" ht="39" customHeight="1">
      <c r="A127" s="1"/>
      <c r="B127" s="1"/>
      <c r="C127" s="188" t="s">
        <v>1837</v>
      </c>
      <c r="D127" s="224" t="s">
        <v>1678</v>
      </c>
      <c r="E127" s="225" t="s">
        <v>1679</v>
      </c>
      <c r="F127" s="225" t="s">
        <v>256</v>
      </c>
      <c r="G127" s="225" t="s">
        <v>256</v>
      </c>
      <c r="H127" s="225" t="s">
        <v>256</v>
      </c>
      <c r="I127" s="225" t="s">
        <v>256</v>
      </c>
      <c r="J127" s="320" t="s">
        <v>1776</v>
      </c>
      <c r="K127" s="224" t="s">
        <v>1777</v>
      </c>
      <c r="L127" s="224" t="s">
        <v>1673</v>
      </c>
      <c r="M127" s="224" t="s">
        <v>1673</v>
      </c>
      <c r="N127" s="224" t="s">
        <v>1673</v>
      </c>
      <c r="O127" s="320" t="s">
        <v>1799</v>
      </c>
      <c r="P127" s="226" t="s">
        <v>256</v>
      </c>
      <c r="Q127" s="374">
        <v>5726</v>
      </c>
      <c r="R127" s="323" t="s">
        <v>1673</v>
      </c>
      <c r="S127" s="324" t="str">
        <f t="shared" si="6"/>
        <v>sûr</v>
      </c>
      <c r="T127" s="325" t="str">
        <f t="shared" si="7"/>
        <v>fluide</v>
      </c>
      <c r="U127" s="228" t="s">
        <v>1673</v>
      </c>
      <c r="V127" s="228" t="s">
        <v>1673</v>
      </c>
      <c r="W127" s="228" t="s">
        <v>1673</v>
      </c>
      <c r="X127" s="229" t="s">
        <v>1673</v>
      </c>
      <c r="Y127" s="288" t="str">
        <f t="shared" si="8"/>
        <v>non</v>
      </c>
      <c r="Z127" s="328" t="str">
        <f t="shared" si="9"/>
        <v>faible</v>
      </c>
      <c r="AA127" s="9"/>
      <c r="AB127" s="1"/>
      <c r="AC127" s="190">
        <f>_xlfn.XLOOKUP(E127&amp;F127&amp;G127&amp;H127&amp;I127&amp;J127&amp;K127&amp;L127&amp;M127&amp;N127&amp;O127&amp;P127,'[2]2.4 wsLookup'!$M$2:$M$96,'[2]2.4 wsLookup'!$N$2:$N$96,"Introuvable")</f>
        <v>2.7999999999999998E-4</v>
      </c>
      <c r="AD127" s="190">
        <f>_xlfn.XLOOKUP(E127&amp;F127&amp;G127&amp;H127&amp;I127&amp;J127&amp;K127&amp;L127&amp;M127&amp;N127&amp;O127&amp;P127,'[2]2.4 wsLookup'!$M$2:$M$96,'[2]2.4 wsLookup'!$O$2:$O$96,"Introuvable")</f>
        <v>0.85</v>
      </c>
      <c r="AE127" s="90">
        <f t="shared" si="11"/>
        <v>0.43785637121406407</v>
      </c>
      <c r="AF127" s="206">
        <f>_xlfn.XLOOKUP(E127&amp;F127&amp;G127&amp;H127&amp;I127&amp;J127&amp;K127&amp;L127&amp;M127&amp;N127&amp;O127&amp;P127,'[2]2.4 wsLookup'!$M$2:$M$96,'[2]2.4 wsLookup'!$Q$2:$Q$96,"Introuvable")</f>
        <v>1.6401708719887149</v>
      </c>
      <c r="AG127" s="91">
        <f>_xlfn.XLOOKUP(E127&amp;F127&amp;G127&amp;H127&amp;I127&amp;J127&amp;K127&amp;L127&amp;M127&amp;N127&amp;O127&amp;P127,'[2]2.4 wsLookup'!$M$2:$M$96,'[2]2.4 wsLookup'!$P$2:$P$96,"Introuvable")</f>
        <v>6.6000000000000003E-2</v>
      </c>
      <c r="AH127" s="91">
        <f>_xlfn.XLOOKUP(E127&amp;F127&amp;G127&amp;H127&amp;I127&amp;J127&amp;K127&amp;L127&amp;M127&amp;N127&amp;O127&amp;P127,'[2]2.4 wsLookup'!$M$2:$M$96,'[2]2.4 wsLookup'!$R$2:$R$96,"Introuvable")</f>
        <v>6.6000000000000003E-2</v>
      </c>
      <c r="AI127" s="193">
        <f>_xlfn.XLOOKUP(E127&amp;F127&amp;G127&amp;H127&amp;I127&amp;J127&amp;K127&amp;L127&amp;M127&amp;N127&amp;O127&amp;P127,'[2]2.4 wsLookup'!$M$2:$M$96,'[2]2.4 wsLookup'!$S$2:$S$96,"Introuvable")</f>
        <v>20000</v>
      </c>
      <c r="AK127" t="str">
        <f t="shared" si="10"/>
        <v>en localité|-|-|-|-|Route Principale|Circulation mixte|non|non|non|Piste cyclable|-</v>
      </c>
      <c r="AO127" t="s">
        <v>1789</v>
      </c>
    </row>
    <row r="128" spans="1:41" ht="39" customHeight="1">
      <c r="A128" s="1"/>
      <c r="B128" s="1"/>
      <c r="C128" s="188" t="s">
        <v>1838</v>
      </c>
      <c r="D128" s="224" t="s">
        <v>1678</v>
      </c>
      <c r="E128" s="225" t="s">
        <v>1679</v>
      </c>
      <c r="F128" s="225" t="s">
        <v>256</v>
      </c>
      <c r="G128" s="225" t="s">
        <v>256</v>
      </c>
      <c r="H128" s="225" t="s">
        <v>256</v>
      </c>
      <c r="I128" s="225" t="s">
        <v>256</v>
      </c>
      <c r="J128" s="320" t="s">
        <v>1776</v>
      </c>
      <c r="K128" s="224" t="s">
        <v>1777</v>
      </c>
      <c r="L128" s="224" t="s">
        <v>1673</v>
      </c>
      <c r="M128" s="224" t="s">
        <v>1673</v>
      </c>
      <c r="N128" s="224" t="s">
        <v>1673</v>
      </c>
      <c r="O128" s="320" t="s">
        <v>1799</v>
      </c>
      <c r="P128" s="226" t="s">
        <v>256</v>
      </c>
      <c r="Q128" s="374">
        <v>6835</v>
      </c>
      <c r="R128" s="323" t="s">
        <v>1673</v>
      </c>
      <c r="S128" s="324" t="str">
        <f t="shared" si="6"/>
        <v>sûr</v>
      </c>
      <c r="T128" s="325" t="str">
        <f t="shared" si="7"/>
        <v>fluide</v>
      </c>
      <c r="U128" s="228" t="s">
        <v>1673</v>
      </c>
      <c r="V128" s="228" t="s">
        <v>1673</v>
      </c>
      <c r="W128" s="228" t="s">
        <v>1673</v>
      </c>
      <c r="X128" s="229" t="s">
        <v>1673</v>
      </c>
      <c r="Y128" s="288" t="str">
        <f t="shared" si="8"/>
        <v>non</v>
      </c>
      <c r="Z128" s="328" t="str">
        <f t="shared" si="9"/>
        <v>faible</v>
      </c>
      <c r="AA128" s="9"/>
      <c r="AB128" s="1"/>
      <c r="AC128" s="190">
        <f>_xlfn.XLOOKUP(E128&amp;F128&amp;G128&amp;H128&amp;I128&amp;J128&amp;K128&amp;L128&amp;M128&amp;N128&amp;O128&amp;P128,'[2]2.4 wsLookup'!$M$2:$M$96,'[2]2.4 wsLookup'!$N$2:$N$96,"Introuvable")</f>
        <v>2.7999999999999998E-4</v>
      </c>
      <c r="AD128" s="190">
        <f>_xlfn.XLOOKUP(E128&amp;F128&amp;G128&amp;H128&amp;I128&amp;J128&amp;K128&amp;L128&amp;M128&amp;N128&amp;O128&amp;P128,'[2]2.4 wsLookup'!$M$2:$M$96,'[2]2.4 wsLookup'!$O$2:$O$96,"Introuvable")</f>
        <v>0.85</v>
      </c>
      <c r="AE128" s="90">
        <f t="shared" si="11"/>
        <v>0.50896248524279486</v>
      </c>
      <c r="AF128" s="206">
        <f>_xlfn.XLOOKUP(E128&amp;F128&amp;G128&amp;H128&amp;I128&amp;J128&amp;K128&amp;L128&amp;M128&amp;N128&amp;O128&amp;P128,'[2]2.4 wsLookup'!$M$2:$M$96,'[2]2.4 wsLookup'!$Q$2:$Q$96,"Introuvable")</f>
        <v>1.6401708719887149</v>
      </c>
      <c r="AG128" s="91">
        <f>_xlfn.XLOOKUP(E128&amp;F128&amp;G128&amp;H128&amp;I128&amp;J128&amp;K128&amp;L128&amp;M128&amp;N128&amp;O128&amp;P128,'[2]2.4 wsLookup'!$M$2:$M$96,'[2]2.4 wsLookup'!$P$2:$P$96,"Introuvable")</f>
        <v>6.6000000000000003E-2</v>
      </c>
      <c r="AH128" s="91">
        <f>_xlfn.XLOOKUP(E128&amp;F128&amp;G128&amp;H128&amp;I128&amp;J128&amp;K128&amp;L128&amp;M128&amp;N128&amp;O128&amp;P128,'[2]2.4 wsLookup'!$M$2:$M$96,'[2]2.4 wsLookup'!$R$2:$R$96,"Introuvable")</f>
        <v>6.6000000000000003E-2</v>
      </c>
      <c r="AI128" s="193">
        <f>_xlfn.XLOOKUP(E128&amp;F128&amp;G128&amp;H128&amp;I128&amp;J128&amp;K128&amp;L128&amp;M128&amp;N128&amp;O128&amp;P128,'[2]2.4 wsLookup'!$M$2:$M$96,'[2]2.4 wsLookup'!$S$2:$S$96,"Introuvable")</f>
        <v>20000</v>
      </c>
      <c r="AK128" t="str">
        <f t="shared" si="10"/>
        <v>en localité|-|-|-|-|Route Principale|Circulation mixte|non|non|non|Piste cyclable|-</v>
      </c>
      <c r="AO128" t="s">
        <v>1789</v>
      </c>
    </row>
    <row r="129" spans="1:41" ht="39" customHeight="1">
      <c r="A129" s="1"/>
      <c r="B129" s="1"/>
      <c r="C129" s="188" t="s">
        <v>1839</v>
      </c>
      <c r="D129" s="224" t="s">
        <v>1678</v>
      </c>
      <c r="E129" s="225" t="s">
        <v>1679</v>
      </c>
      <c r="F129" s="225" t="s">
        <v>256</v>
      </c>
      <c r="G129" s="225" t="s">
        <v>256</v>
      </c>
      <c r="H129" s="225" t="s">
        <v>256</v>
      </c>
      <c r="I129" s="225" t="s">
        <v>256</v>
      </c>
      <c r="J129" s="320" t="s">
        <v>1776</v>
      </c>
      <c r="K129" s="224" t="s">
        <v>1777</v>
      </c>
      <c r="L129" s="224" t="s">
        <v>1673</v>
      </c>
      <c r="M129" s="224" t="s">
        <v>1673</v>
      </c>
      <c r="N129" s="224" t="s">
        <v>1673</v>
      </c>
      <c r="O129" s="320" t="s">
        <v>1799</v>
      </c>
      <c r="P129" s="226" t="s">
        <v>256</v>
      </c>
      <c r="Q129" s="374">
        <v>6835</v>
      </c>
      <c r="R129" s="323" t="s">
        <v>1673</v>
      </c>
      <c r="S129" s="324" t="str">
        <f t="shared" si="6"/>
        <v>sûr</v>
      </c>
      <c r="T129" s="325" t="str">
        <f t="shared" si="7"/>
        <v>fluide</v>
      </c>
      <c r="U129" s="228" t="s">
        <v>1673</v>
      </c>
      <c r="V129" s="228" t="s">
        <v>1673</v>
      </c>
      <c r="W129" s="228" t="s">
        <v>1673</v>
      </c>
      <c r="X129" s="229" t="s">
        <v>1673</v>
      </c>
      <c r="Y129" s="288" t="str">
        <f t="shared" si="8"/>
        <v>non</v>
      </c>
      <c r="Z129" s="328" t="str">
        <f t="shared" si="9"/>
        <v>faible</v>
      </c>
      <c r="AA129" s="9"/>
      <c r="AB129" s="1"/>
      <c r="AC129" s="190">
        <f>_xlfn.XLOOKUP(E129&amp;F129&amp;G129&amp;H129&amp;I129&amp;J129&amp;K129&amp;L129&amp;M129&amp;N129&amp;O129&amp;P129,'[2]2.4 wsLookup'!$M$2:$M$96,'[2]2.4 wsLookup'!$N$2:$N$96,"Introuvable")</f>
        <v>2.7999999999999998E-4</v>
      </c>
      <c r="AD129" s="190">
        <f>_xlfn.XLOOKUP(E129&amp;F129&amp;G129&amp;H129&amp;I129&amp;J129&amp;K129&amp;L129&amp;M129&amp;N129&amp;O129&amp;P129,'[2]2.4 wsLookup'!$M$2:$M$96,'[2]2.4 wsLookup'!$O$2:$O$96,"Introuvable")</f>
        <v>0.85</v>
      </c>
      <c r="AE129" s="90">
        <f t="shared" si="11"/>
        <v>0.50896248524279486</v>
      </c>
      <c r="AF129" s="206">
        <f>_xlfn.XLOOKUP(E129&amp;F129&amp;G129&amp;H129&amp;I129&amp;J129&amp;K129&amp;L129&amp;M129&amp;N129&amp;O129&amp;P129,'[2]2.4 wsLookup'!$M$2:$M$96,'[2]2.4 wsLookup'!$Q$2:$Q$96,"Introuvable")</f>
        <v>1.6401708719887149</v>
      </c>
      <c r="AG129" s="91">
        <f>_xlfn.XLOOKUP(E129&amp;F129&amp;G129&amp;H129&amp;I129&amp;J129&amp;K129&amp;L129&amp;M129&amp;N129&amp;O129&amp;P129,'[2]2.4 wsLookup'!$M$2:$M$96,'[2]2.4 wsLookup'!$P$2:$P$96,"Introuvable")</f>
        <v>6.6000000000000003E-2</v>
      </c>
      <c r="AH129" s="91">
        <f>_xlfn.XLOOKUP(E129&amp;F129&amp;G129&amp;H129&amp;I129&amp;J129&amp;K129&amp;L129&amp;M129&amp;N129&amp;O129&amp;P129,'[2]2.4 wsLookup'!$M$2:$M$96,'[2]2.4 wsLookup'!$R$2:$R$96,"Introuvable")</f>
        <v>6.6000000000000003E-2</v>
      </c>
      <c r="AI129" s="193">
        <f>_xlfn.XLOOKUP(E129&amp;F129&amp;G129&amp;H129&amp;I129&amp;J129&amp;K129&amp;L129&amp;M129&amp;N129&amp;O129&amp;P129,'[2]2.4 wsLookup'!$M$2:$M$96,'[2]2.4 wsLookup'!$S$2:$S$96,"Introuvable")</f>
        <v>20000</v>
      </c>
      <c r="AK129" t="str">
        <f t="shared" si="10"/>
        <v>en localité|-|-|-|-|Route Principale|Circulation mixte|non|non|non|Piste cyclable|-</v>
      </c>
      <c r="AO129" t="s">
        <v>1789</v>
      </c>
    </row>
    <row r="130" spans="1:41" ht="39" customHeight="1">
      <c r="A130" s="1"/>
      <c r="B130" s="1"/>
      <c r="C130" s="188" t="s">
        <v>1840</v>
      </c>
      <c r="D130" s="224" t="s">
        <v>1678</v>
      </c>
      <c r="E130" s="225" t="s">
        <v>1705</v>
      </c>
      <c r="F130" s="225" t="s">
        <v>256</v>
      </c>
      <c r="G130" s="225" t="s">
        <v>256</v>
      </c>
      <c r="H130" s="225" t="s">
        <v>256</v>
      </c>
      <c r="I130" s="225" t="s">
        <v>256</v>
      </c>
      <c r="J130" s="320" t="s">
        <v>1776</v>
      </c>
      <c r="K130" s="224" t="s">
        <v>1777</v>
      </c>
      <c r="L130" s="224" t="s">
        <v>1673</v>
      </c>
      <c r="M130" s="224" t="s">
        <v>256</v>
      </c>
      <c r="N130" s="224" t="s">
        <v>256</v>
      </c>
      <c r="O130" s="320" t="s">
        <v>1799</v>
      </c>
      <c r="P130" s="226" t="s">
        <v>256</v>
      </c>
      <c r="Q130" s="374">
        <v>825</v>
      </c>
      <c r="R130" s="323" t="s">
        <v>1673</v>
      </c>
      <c r="S130" s="324" t="str">
        <f t="shared" si="6"/>
        <v>sûr</v>
      </c>
      <c r="T130" s="325" t="str">
        <f t="shared" si="7"/>
        <v>fluide</v>
      </c>
      <c r="U130" s="228" t="s">
        <v>1673</v>
      </c>
      <c r="V130" s="228" t="s">
        <v>1673</v>
      </c>
      <c r="W130" s="228" t="s">
        <v>1673</v>
      </c>
      <c r="X130" s="229" t="s">
        <v>1673</v>
      </c>
      <c r="Y130" s="288" t="str">
        <f t="shared" si="8"/>
        <v>non</v>
      </c>
      <c r="Z130" s="328" t="str">
        <f t="shared" si="9"/>
        <v>faible</v>
      </c>
      <c r="AA130" s="9"/>
      <c r="AB130" s="1"/>
      <c r="AC130" s="190">
        <f>_xlfn.XLOOKUP(E130&amp;F130&amp;G130&amp;H130&amp;I130&amp;J130&amp;K130&amp;L130&amp;M130&amp;N130&amp;O130&amp;P130,'[2]2.4 wsLookup'!$M$2:$M$96,'[2]2.4 wsLookup'!$N$2:$N$96,"Introuvable")</f>
        <v>1.8100000000000002E-3</v>
      </c>
      <c r="AD130" s="190">
        <f>_xlfn.XLOOKUP(E130&amp;F130&amp;G130&amp;H130&amp;I130&amp;J130&amp;K130&amp;L130&amp;M130&amp;N130&amp;O130&amp;P130,'[2]2.4 wsLookup'!$M$2:$M$96,'[2]2.4 wsLookup'!$O$2:$O$96,"Introuvable")</f>
        <v>0.61</v>
      </c>
      <c r="AE130" s="90">
        <f t="shared" si="11"/>
        <v>0.10882169432797907</v>
      </c>
      <c r="AF130" s="206">
        <f>_xlfn.XLOOKUP(E130&amp;F130&amp;G130&amp;H130&amp;I130&amp;J130&amp;K130&amp;L130&amp;M130&amp;N130&amp;O130&amp;P130,'[2]2.4 wsLookup'!$M$2:$M$96,'[2]2.4 wsLookup'!$Q$2:$Q$96,"Introuvable")</f>
        <v>0.76086371289166055</v>
      </c>
      <c r="AG130" s="91">
        <f>_xlfn.XLOOKUP(E130&amp;F130&amp;G130&amp;H130&amp;I130&amp;J130&amp;K130&amp;L130&amp;M130&amp;N130&amp;O130&amp;P130,'[2]2.4 wsLookup'!$M$2:$M$96,'[2]2.4 wsLookup'!$P$2:$P$96,"Introuvable")</f>
        <v>6.7000000000000004E-2</v>
      </c>
      <c r="AH130" s="91">
        <f>_xlfn.XLOOKUP(E130&amp;F130&amp;G130&amp;H130&amp;I130&amp;J130&amp;K130&amp;L130&amp;M130&amp;N130&amp;O130&amp;P130,'[2]2.4 wsLookup'!$M$2:$M$96,'[2]2.4 wsLookup'!$R$2:$R$96,"Introuvable")</f>
        <v>6.8499999999999991E-2</v>
      </c>
      <c r="AI130" s="193">
        <f>_xlfn.XLOOKUP(E130&amp;F130&amp;G130&amp;H130&amp;I130&amp;J130&amp;K130&amp;L130&amp;M130&amp;N130&amp;O130&amp;P130,'[2]2.4 wsLookup'!$M$2:$M$96,'[2]2.4 wsLookup'!$S$2:$S$96,"Introuvable")</f>
        <v>20000</v>
      </c>
      <c r="AK130" t="str">
        <f t="shared" si="10"/>
        <v>hors localité|-|-|-|-|Route Principale|Circulation mixte|non|-|-|Piste cyclable|-</v>
      </c>
      <c r="AO130" t="s">
        <v>1804</v>
      </c>
    </row>
    <row r="131" spans="1:41" ht="39" customHeight="1">
      <c r="A131" s="1"/>
      <c r="B131" s="1"/>
      <c r="C131" s="188" t="s">
        <v>1841</v>
      </c>
      <c r="D131" s="224" t="s">
        <v>1678</v>
      </c>
      <c r="E131" s="225" t="s">
        <v>1705</v>
      </c>
      <c r="F131" s="225" t="s">
        <v>256</v>
      </c>
      <c r="G131" s="225" t="s">
        <v>256</v>
      </c>
      <c r="H131" s="225" t="s">
        <v>256</v>
      </c>
      <c r="I131" s="225" t="s">
        <v>256</v>
      </c>
      <c r="J131" s="320" t="s">
        <v>1776</v>
      </c>
      <c r="K131" s="224" t="s">
        <v>1777</v>
      </c>
      <c r="L131" s="224" t="s">
        <v>1673</v>
      </c>
      <c r="M131" s="224" t="s">
        <v>256</v>
      </c>
      <c r="N131" s="224" t="s">
        <v>256</v>
      </c>
      <c r="O131" s="320" t="s">
        <v>1799</v>
      </c>
      <c r="P131" s="226" t="s">
        <v>256</v>
      </c>
      <c r="Q131" s="374">
        <v>825</v>
      </c>
      <c r="R131" s="323" t="s">
        <v>1673</v>
      </c>
      <c r="S131" s="324" t="str">
        <f t="shared" si="6"/>
        <v>sûr</v>
      </c>
      <c r="T131" s="325" t="str">
        <f t="shared" si="7"/>
        <v>fluide</v>
      </c>
      <c r="U131" s="228" t="s">
        <v>1673</v>
      </c>
      <c r="V131" s="228" t="s">
        <v>1673</v>
      </c>
      <c r="W131" s="228" t="s">
        <v>1673</v>
      </c>
      <c r="X131" s="229" t="s">
        <v>1673</v>
      </c>
      <c r="Y131" s="288" t="str">
        <f t="shared" si="8"/>
        <v>non</v>
      </c>
      <c r="Z131" s="328" t="str">
        <f t="shared" si="9"/>
        <v>faible</v>
      </c>
      <c r="AA131" s="9"/>
      <c r="AB131" s="1"/>
      <c r="AC131" s="190">
        <f>_xlfn.XLOOKUP(E131&amp;F131&amp;G131&amp;H131&amp;I131&amp;J131&amp;K131&amp;L131&amp;M131&amp;N131&amp;O131&amp;P131,'[2]2.4 wsLookup'!$M$2:$M$96,'[2]2.4 wsLookup'!$N$2:$N$96,"Introuvable")</f>
        <v>1.8100000000000002E-3</v>
      </c>
      <c r="AD131" s="190">
        <f>_xlfn.XLOOKUP(E131&amp;F131&amp;G131&amp;H131&amp;I131&amp;J131&amp;K131&amp;L131&amp;M131&amp;N131&amp;O131&amp;P131,'[2]2.4 wsLookup'!$M$2:$M$96,'[2]2.4 wsLookup'!$O$2:$O$96,"Introuvable")</f>
        <v>0.61</v>
      </c>
      <c r="AE131" s="90">
        <f t="shared" si="11"/>
        <v>0.10882169432797907</v>
      </c>
      <c r="AF131" s="206">
        <f>_xlfn.XLOOKUP(E131&amp;F131&amp;G131&amp;H131&amp;I131&amp;J131&amp;K131&amp;L131&amp;M131&amp;N131&amp;O131&amp;P131,'[2]2.4 wsLookup'!$M$2:$M$96,'[2]2.4 wsLookup'!$Q$2:$Q$96,"Introuvable")</f>
        <v>0.76086371289166055</v>
      </c>
      <c r="AG131" s="91">
        <f>_xlfn.XLOOKUP(E131&amp;F131&amp;G131&amp;H131&amp;I131&amp;J131&amp;K131&amp;L131&amp;M131&amp;N131&amp;O131&amp;P131,'[2]2.4 wsLookup'!$M$2:$M$96,'[2]2.4 wsLookup'!$P$2:$P$96,"Introuvable")</f>
        <v>6.7000000000000004E-2</v>
      </c>
      <c r="AH131" s="91">
        <f>_xlfn.XLOOKUP(E131&amp;F131&amp;G131&amp;H131&amp;I131&amp;J131&amp;K131&amp;L131&amp;M131&amp;N131&amp;O131&amp;P131,'[2]2.4 wsLookup'!$M$2:$M$96,'[2]2.4 wsLookup'!$R$2:$R$96,"Introuvable")</f>
        <v>6.8499999999999991E-2</v>
      </c>
      <c r="AI131" s="193">
        <f>_xlfn.XLOOKUP(E131&amp;F131&amp;G131&amp;H131&amp;I131&amp;J131&amp;K131&amp;L131&amp;M131&amp;N131&amp;O131&amp;P131,'[2]2.4 wsLookup'!$M$2:$M$96,'[2]2.4 wsLookup'!$S$2:$S$96,"Introuvable")</f>
        <v>20000</v>
      </c>
      <c r="AK131" t="str">
        <f t="shared" si="10"/>
        <v>hors localité|-|-|-|-|Route Principale|Circulation mixte|non|-|-|Piste cyclable|-</v>
      </c>
      <c r="AO131" t="s">
        <v>1804</v>
      </c>
    </row>
    <row r="132" spans="1:41" ht="39" customHeight="1">
      <c r="A132" s="1"/>
      <c r="B132" s="1"/>
      <c r="C132" s="188" t="s">
        <v>1842</v>
      </c>
      <c r="D132" s="224" t="s">
        <v>1678</v>
      </c>
      <c r="E132" s="225" t="s">
        <v>1705</v>
      </c>
      <c r="F132" s="225" t="s">
        <v>256</v>
      </c>
      <c r="G132" s="225" t="s">
        <v>256</v>
      </c>
      <c r="H132" s="225" t="s">
        <v>256</v>
      </c>
      <c r="I132" s="225" t="s">
        <v>256</v>
      </c>
      <c r="J132" s="320" t="s">
        <v>1776</v>
      </c>
      <c r="K132" s="224" t="s">
        <v>1777</v>
      </c>
      <c r="L132" s="224" t="s">
        <v>1673</v>
      </c>
      <c r="M132" s="224" t="s">
        <v>256</v>
      </c>
      <c r="N132" s="224" t="s">
        <v>256</v>
      </c>
      <c r="O132" s="320" t="s">
        <v>1799</v>
      </c>
      <c r="P132" s="226" t="s">
        <v>256</v>
      </c>
      <c r="Q132" s="374">
        <v>5965</v>
      </c>
      <c r="R132" s="323" t="s">
        <v>1673</v>
      </c>
      <c r="S132" s="324" t="str">
        <f t="shared" si="6"/>
        <v>sûr</v>
      </c>
      <c r="T132" s="325" t="str">
        <f t="shared" si="7"/>
        <v>fluide</v>
      </c>
      <c r="U132" s="228" t="s">
        <v>1673</v>
      </c>
      <c r="V132" s="228" t="s">
        <v>1673</v>
      </c>
      <c r="W132" s="228" t="s">
        <v>1673</v>
      </c>
      <c r="X132" s="229" t="s">
        <v>1673</v>
      </c>
      <c r="Y132" s="288" t="str">
        <f t="shared" si="8"/>
        <v>non</v>
      </c>
      <c r="Z132" s="328" t="str">
        <f t="shared" si="9"/>
        <v>faible</v>
      </c>
      <c r="AA132" s="9"/>
      <c r="AB132" s="1"/>
      <c r="AC132" s="190">
        <f>_xlfn.XLOOKUP(E132&amp;F132&amp;G132&amp;H132&amp;I132&amp;J132&amp;K132&amp;L132&amp;M132&amp;N132&amp;O132&amp;P132,'[2]2.4 wsLookup'!$M$2:$M$96,'[2]2.4 wsLookup'!$N$2:$N$96,"Introuvable")</f>
        <v>1.8100000000000002E-3</v>
      </c>
      <c r="AD132" s="190">
        <f>_xlfn.XLOOKUP(E132&amp;F132&amp;G132&amp;H132&amp;I132&amp;J132&amp;K132&amp;L132&amp;M132&amp;N132&amp;O132&amp;P132,'[2]2.4 wsLookup'!$M$2:$M$96,'[2]2.4 wsLookup'!$O$2:$O$96,"Introuvable")</f>
        <v>0.61</v>
      </c>
      <c r="AE132" s="90">
        <f t="shared" si="11"/>
        <v>0.36374827977814195</v>
      </c>
      <c r="AF132" s="206">
        <f>_xlfn.XLOOKUP(E132&amp;F132&amp;G132&amp;H132&amp;I132&amp;J132&amp;K132&amp;L132&amp;M132&amp;N132&amp;O132&amp;P132,'[2]2.4 wsLookup'!$M$2:$M$96,'[2]2.4 wsLookup'!$Q$2:$Q$96,"Introuvable")</f>
        <v>0.76086371289166055</v>
      </c>
      <c r="AG132" s="91">
        <f>_xlfn.XLOOKUP(E132&amp;F132&amp;G132&amp;H132&amp;I132&amp;J132&amp;K132&amp;L132&amp;M132&amp;N132&amp;O132&amp;P132,'[2]2.4 wsLookup'!$M$2:$M$96,'[2]2.4 wsLookup'!$P$2:$P$96,"Introuvable")</f>
        <v>6.7000000000000004E-2</v>
      </c>
      <c r="AH132" s="91">
        <f>_xlfn.XLOOKUP(E132&amp;F132&amp;G132&amp;H132&amp;I132&amp;J132&amp;K132&amp;L132&amp;M132&amp;N132&amp;O132&amp;P132,'[2]2.4 wsLookup'!$M$2:$M$96,'[2]2.4 wsLookup'!$R$2:$R$96,"Introuvable")</f>
        <v>6.8499999999999991E-2</v>
      </c>
      <c r="AI132" s="193">
        <f>_xlfn.XLOOKUP(E132&amp;F132&amp;G132&amp;H132&amp;I132&amp;J132&amp;K132&amp;L132&amp;M132&amp;N132&amp;O132&amp;P132,'[2]2.4 wsLookup'!$M$2:$M$96,'[2]2.4 wsLookup'!$S$2:$S$96,"Introuvable")</f>
        <v>20000</v>
      </c>
      <c r="AK132" t="str">
        <f t="shared" si="10"/>
        <v>hors localité|-|-|-|-|Route Principale|Circulation mixte|non|-|-|Piste cyclable|-</v>
      </c>
      <c r="AO132" t="s">
        <v>1804</v>
      </c>
    </row>
    <row r="133" spans="1:41" ht="39" customHeight="1">
      <c r="A133" s="1"/>
      <c r="B133" s="1"/>
      <c r="C133" s="188" t="s">
        <v>1843</v>
      </c>
      <c r="D133" s="224" t="s">
        <v>1678</v>
      </c>
      <c r="E133" s="225" t="s">
        <v>1705</v>
      </c>
      <c r="F133" s="225" t="s">
        <v>256</v>
      </c>
      <c r="G133" s="225" t="s">
        <v>256</v>
      </c>
      <c r="H133" s="225" t="s">
        <v>256</v>
      </c>
      <c r="I133" s="225" t="s">
        <v>256</v>
      </c>
      <c r="J133" s="320" t="s">
        <v>1776</v>
      </c>
      <c r="K133" s="224" t="s">
        <v>1777</v>
      </c>
      <c r="L133" s="224" t="s">
        <v>1673</v>
      </c>
      <c r="M133" s="224" t="s">
        <v>256</v>
      </c>
      <c r="N133" s="224" t="s">
        <v>256</v>
      </c>
      <c r="O133" s="320" t="s">
        <v>1778</v>
      </c>
      <c r="P133" s="226" t="s">
        <v>256</v>
      </c>
      <c r="Q133" s="374">
        <v>7184</v>
      </c>
      <c r="R133" s="323" t="s">
        <v>1673</v>
      </c>
      <c r="S133" s="324" t="str">
        <f t="shared" si="6"/>
        <v>sûr</v>
      </c>
      <c r="T133" s="325" t="str">
        <f t="shared" si="7"/>
        <v>fluide</v>
      </c>
      <c r="U133" s="228" t="s">
        <v>1673</v>
      </c>
      <c r="V133" s="228" t="s">
        <v>1673</v>
      </c>
      <c r="W133" s="228" t="s">
        <v>1674</v>
      </c>
      <c r="X133" s="229" t="s">
        <v>1673</v>
      </c>
      <c r="Y133" s="288" t="str">
        <f t="shared" si="8"/>
        <v>oui</v>
      </c>
      <c r="Z133" s="328" t="str">
        <f t="shared" si="9"/>
        <v>élevé</v>
      </c>
      <c r="AA133" s="9"/>
      <c r="AB133" s="1"/>
      <c r="AC133" s="190">
        <f>_xlfn.XLOOKUP(E133&amp;F133&amp;G133&amp;H133&amp;I133&amp;J133&amp;K133&amp;L133&amp;M133&amp;N133&amp;O133&amp;P133,'[2]2.4 wsLookup'!$M$2:$M$96,'[2]2.4 wsLookup'!$N$2:$N$96,"Introuvable")</f>
        <v>1.8100000000000002E-3</v>
      </c>
      <c r="AD133" s="190">
        <f>_xlfn.XLOOKUP(E133&amp;F133&amp;G133&amp;H133&amp;I133&amp;J133&amp;K133&amp;L133&amp;M133&amp;N133&amp;O133&amp;P133,'[2]2.4 wsLookup'!$M$2:$M$96,'[2]2.4 wsLookup'!$O$2:$O$96,"Introuvable")</f>
        <v>0.61</v>
      </c>
      <c r="AE133" s="90">
        <f t="shared" si="11"/>
        <v>0.40743846998028421</v>
      </c>
      <c r="AF133" s="206">
        <f>_xlfn.XLOOKUP(E133&amp;F133&amp;G133&amp;H133&amp;I133&amp;J133&amp;K133&amp;L133&amp;M133&amp;N133&amp;O133&amp;P133,'[2]2.4 wsLookup'!$M$2:$M$96,'[2]2.4 wsLookup'!$Q$2:$Q$96,"Introuvable")</f>
        <v>0.76086371289166055</v>
      </c>
      <c r="AG133" s="91">
        <f>_xlfn.XLOOKUP(E133&amp;F133&amp;G133&amp;H133&amp;I133&amp;J133&amp;K133&amp;L133&amp;M133&amp;N133&amp;O133&amp;P133,'[2]2.4 wsLookup'!$M$2:$M$96,'[2]2.4 wsLookup'!$P$2:$P$96,"Introuvable")</f>
        <v>6.7000000000000004E-2</v>
      </c>
      <c r="AH133" s="91">
        <f>_xlfn.XLOOKUP(E133&amp;F133&amp;G133&amp;H133&amp;I133&amp;J133&amp;K133&amp;L133&amp;M133&amp;N133&amp;O133&amp;P133,'[2]2.4 wsLookup'!$M$2:$M$96,'[2]2.4 wsLookup'!$R$2:$R$96,"Introuvable")</f>
        <v>6.8499999999999991E-2</v>
      </c>
      <c r="AI133" s="193">
        <f>_xlfn.XLOOKUP(E133&amp;F133&amp;G133&amp;H133&amp;I133&amp;J133&amp;K133&amp;L133&amp;M133&amp;N133&amp;O133&amp;P133,'[2]2.4 wsLookup'!$M$2:$M$96,'[2]2.4 wsLookup'!$S$2:$S$96,"Introuvable")</f>
        <v>20000</v>
      </c>
      <c r="AK133" t="str">
        <f t="shared" si="10"/>
        <v>hors localité|-|-|-|-|Route Principale|Circulation mixte|non|-|-|Sans|-</v>
      </c>
      <c r="AO133" t="s">
        <v>1844</v>
      </c>
    </row>
    <row r="134" spans="1:41" ht="39" customHeight="1">
      <c r="A134" s="1"/>
      <c r="B134" s="1"/>
      <c r="C134" s="188" t="s">
        <v>1845</v>
      </c>
      <c r="D134" s="224" t="s">
        <v>1678</v>
      </c>
      <c r="E134" s="225" t="s">
        <v>1705</v>
      </c>
      <c r="F134" s="225" t="s">
        <v>256</v>
      </c>
      <c r="G134" s="225" t="s">
        <v>256</v>
      </c>
      <c r="H134" s="225" t="s">
        <v>256</v>
      </c>
      <c r="I134" s="225" t="s">
        <v>256</v>
      </c>
      <c r="J134" s="320" t="s">
        <v>1776</v>
      </c>
      <c r="K134" s="224" t="s">
        <v>1777</v>
      </c>
      <c r="L134" s="224" t="s">
        <v>1673</v>
      </c>
      <c r="M134" s="224" t="s">
        <v>256</v>
      </c>
      <c r="N134" s="224" t="s">
        <v>256</v>
      </c>
      <c r="O134" s="320" t="s">
        <v>1778</v>
      </c>
      <c r="P134" s="226" t="s">
        <v>256</v>
      </c>
      <c r="Q134" s="374">
        <v>6389</v>
      </c>
      <c r="R134" s="323" t="s">
        <v>1673</v>
      </c>
      <c r="S134" s="324" t="str">
        <f t="shared" si="6"/>
        <v>sûr</v>
      </c>
      <c r="T134" s="325" t="str">
        <f t="shared" si="7"/>
        <v>fluide</v>
      </c>
      <c r="U134" s="228" t="s">
        <v>1673</v>
      </c>
      <c r="V134" s="228" t="s">
        <v>1673</v>
      </c>
      <c r="W134" s="228" t="s">
        <v>1673</v>
      </c>
      <c r="X134" s="229" t="s">
        <v>1674</v>
      </c>
      <c r="Y134" s="288" t="str">
        <f t="shared" si="8"/>
        <v>oui</v>
      </c>
      <c r="Z134" s="328" t="str">
        <f t="shared" si="9"/>
        <v>élevé</v>
      </c>
      <c r="AA134" s="9"/>
      <c r="AB134" s="1"/>
      <c r="AC134" s="190">
        <f>_xlfn.XLOOKUP(E134&amp;F134&amp;G134&amp;H134&amp;I134&amp;J134&amp;K134&amp;L134&amp;M134&amp;N134&amp;O134&amp;P134,'[2]2.4 wsLookup'!$M$2:$M$96,'[2]2.4 wsLookup'!$N$2:$N$96,"Introuvable")</f>
        <v>1.8100000000000002E-3</v>
      </c>
      <c r="AD134" s="190">
        <f>_xlfn.XLOOKUP(E134&amp;F134&amp;G134&amp;H134&amp;I134&amp;J134&amp;K134&amp;L134&amp;M134&amp;N134&amp;O134&amp;P134,'[2]2.4 wsLookup'!$M$2:$M$96,'[2]2.4 wsLookup'!$O$2:$O$96,"Introuvable")</f>
        <v>0.61</v>
      </c>
      <c r="AE134" s="90">
        <f t="shared" si="11"/>
        <v>0.37930855382362261</v>
      </c>
      <c r="AF134" s="206">
        <f>_xlfn.XLOOKUP(E134&amp;F134&amp;G134&amp;H134&amp;I134&amp;J134&amp;K134&amp;L134&amp;M134&amp;N134&amp;O134&amp;P134,'[2]2.4 wsLookup'!$M$2:$M$96,'[2]2.4 wsLookup'!$Q$2:$Q$96,"Introuvable")</f>
        <v>0.76086371289166055</v>
      </c>
      <c r="AG134" s="91">
        <f>_xlfn.XLOOKUP(E134&amp;F134&amp;G134&amp;H134&amp;I134&amp;J134&amp;K134&amp;L134&amp;M134&amp;N134&amp;O134&amp;P134,'[2]2.4 wsLookup'!$M$2:$M$96,'[2]2.4 wsLookup'!$P$2:$P$96,"Introuvable")</f>
        <v>6.7000000000000004E-2</v>
      </c>
      <c r="AH134" s="91">
        <f>_xlfn.XLOOKUP(E134&amp;F134&amp;G134&amp;H134&amp;I134&amp;J134&amp;K134&amp;L134&amp;M134&amp;N134&amp;O134&amp;P134,'[2]2.4 wsLookup'!$M$2:$M$96,'[2]2.4 wsLookup'!$R$2:$R$96,"Introuvable")</f>
        <v>6.8499999999999991E-2</v>
      </c>
      <c r="AI134" s="193">
        <f>_xlfn.XLOOKUP(E134&amp;F134&amp;G134&amp;H134&amp;I134&amp;J134&amp;K134&amp;L134&amp;M134&amp;N134&amp;O134&amp;P134,'[2]2.4 wsLookup'!$M$2:$M$96,'[2]2.4 wsLookup'!$S$2:$S$96,"Introuvable")</f>
        <v>20000</v>
      </c>
      <c r="AK134" t="str">
        <f t="shared" si="10"/>
        <v>hors localité|-|-|-|-|Route Principale|Circulation mixte|non|-|-|Sans|-</v>
      </c>
      <c r="AO134" t="s">
        <v>1846</v>
      </c>
    </row>
    <row r="135" spans="1:41" ht="39" customHeight="1">
      <c r="A135" s="1"/>
      <c r="B135" s="1"/>
      <c r="C135" s="188" t="s">
        <v>1847</v>
      </c>
      <c r="D135" s="224" t="s">
        <v>1678</v>
      </c>
      <c r="E135" s="225" t="s">
        <v>1705</v>
      </c>
      <c r="F135" s="225" t="s">
        <v>256</v>
      </c>
      <c r="G135" s="225" t="s">
        <v>256</v>
      </c>
      <c r="H135" s="225" t="s">
        <v>256</v>
      </c>
      <c r="I135" s="225" t="s">
        <v>256</v>
      </c>
      <c r="J135" s="320" t="s">
        <v>1776</v>
      </c>
      <c r="K135" s="224" t="s">
        <v>1777</v>
      </c>
      <c r="L135" s="224" t="s">
        <v>1673</v>
      </c>
      <c r="M135" s="224" t="s">
        <v>256</v>
      </c>
      <c r="N135" s="224" t="s">
        <v>256</v>
      </c>
      <c r="O135" s="320" t="s">
        <v>1799</v>
      </c>
      <c r="P135" s="226" t="s">
        <v>256</v>
      </c>
      <c r="Q135" s="374">
        <v>5965</v>
      </c>
      <c r="R135" s="323" t="s">
        <v>1673</v>
      </c>
      <c r="S135" s="324" t="str">
        <f t="shared" si="6"/>
        <v>sûr</v>
      </c>
      <c r="T135" s="325" t="str">
        <f t="shared" si="7"/>
        <v>fluide</v>
      </c>
      <c r="U135" s="228" t="s">
        <v>1673</v>
      </c>
      <c r="V135" s="228" t="s">
        <v>1673</v>
      </c>
      <c r="W135" s="228" t="s">
        <v>1673</v>
      </c>
      <c r="X135" s="229" t="s">
        <v>1673</v>
      </c>
      <c r="Y135" s="288" t="str">
        <f t="shared" si="8"/>
        <v>non</v>
      </c>
      <c r="Z135" s="328" t="str">
        <f t="shared" si="9"/>
        <v>faible</v>
      </c>
      <c r="AA135" s="9"/>
      <c r="AB135" s="1"/>
      <c r="AC135" s="190">
        <f>_xlfn.XLOOKUP(E135&amp;F135&amp;G135&amp;H135&amp;I135&amp;J135&amp;K135&amp;L135&amp;M135&amp;N135&amp;O135&amp;P135,'[2]2.4 wsLookup'!$M$2:$M$96,'[2]2.4 wsLookup'!$N$2:$N$96,"Introuvable")</f>
        <v>1.8100000000000002E-3</v>
      </c>
      <c r="AD135" s="190">
        <f>_xlfn.XLOOKUP(E135&amp;F135&amp;G135&amp;H135&amp;I135&amp;J135&amp;K135&amp;L135&amp;M135&amp;N135&amp;O135&amp;P135,'[2]2.4 wsLookup'!$M$2:$M$96,'[2]2.4 wsLookup'!$O$2:$O$96,"Introuvable")</f>
        <v>0.61</v>
      </c>
      <c r="AE135" s="90">
        <f t="shared" si="11"/>
        <v>0.36374827977814195</v>
      </c>
      <c r="AF135" s="206">
        <f>_xlfn.XLOOKUP(E135&amp;F135&amp;G135&amp;H135&amp;I135&amp;J135&amp;K135&amp;L135&amp;M135&amp;N135&amp;O135&amp;P135,'[2]2.4 wsLookup'!$M$2:$M$96,'[2]2.4 wsLookup'!$Q$2:$Q$96,"Introuvable")</f>
        <v>0.76086371289166055</v>
      </c>
      <c r="AG135" s="91">
        <f>_xlfn.XLOOKUP(E135&amp;F135&amp;G135&amp;H135&amp;I135&amp;J135&amp;K135&amp;L135&amp;M135&amp;N135&amp;O135&amp;P135,'[2]2.4 wsLookup'!$M$2:$M$96,'[2]2.4 wsLookup'!$P$2:$P$96,"Introuvable")</f>
        <v>6.7000000000000004E-2</v>
      </c>
      <c r="AH135" s="91">
        <f>_xlfn.XLOOKUP(E135&amp;F135&amp;G135&amp;H135&amp;I135&amp;J135&amp;K135&amp;L135&amp;M135&amp;N135&amp;O135&amp;P135,'[2]2.4 wsLookup'!$M$2:$M$96,'[2]2.4 wsLookup'!$R$2:$R$96,"Introuvable")</f>
        <v>6.8499999999999991E-2</v>
      </c>
      <c r="AI135" s="193">
        <f>_xlfn.XLOOKUP(E135&amp;F135&amp;G135&amp;H135&amp;I135&amp;J135&amp;K135&amp;L135&amp;M135&amp;N135&amp;O135&amp;P135,'[2]2.4 wsLookup'!$M$2:$M$96,'[2]2.4 wsLookup'!$S$2:$S$96,"Introuvable")</f>
        <v>20000</v>
      </c>
      <c r="AK135" t="str">
        <f t="shared" si="10"/>
        <v>hors localité|-|-|-|-|Route Principale|Circulation mixte|non|-|-|Piste cyclable|-</v>
      </c>
      <c r="AO135" t="s">
        <v>1804</v>
      </c>
    </row>
    <row r="136" spans="1:41" ht="39" customHeight="1">
      <c r="A136" s="1"/>
      <c r="B136" s="1"/>
      <c r="C136" s="188" t="s">
        <v>1848</v>
      </c>
      <c r="D136" s="224" t="s">
        <v>1678</v>
      </c>
      <c r="E136" s="225" t="s">
        <v>1705</v>
      </c>
      <c r="F136" s="225" t="s">
        <v>256</v>
      </c>
      <c r="G136" s="225" t="s">
        <v>256</v>
      </c>
      <c r="H136" s="225" t="s">
        <v>256</v>
      </c>
      <c r="I136" s="225" t="s">
        <v>256</v>
      </c>
      <c r="J136" s="320" t="s">
        <v>1776</v>
      </c>
      <c r="K136" s="224" t="s">
        <v>1777</v>
      </c>
      <c r="L136" s="224" t="s">
        <v>1673</v>
      </c>
      <c r="M136" s="224" t="s">
        <v>256</v>
      </c>
      <c r="N136" s="224" t="s">
        <v>256</v>
      </c>
      <c r="O136" s="320" t="s">
        <v>1799</v>
      </c>
      <c r="P136" s="226" t="s">
        <v>256</v>
      </c>
      <c r="Q136" s="374">
        <v>12800</v>
      </c>
      <c r="R136" s="323" t="s">
        <v>1673</v>
      </c>
      <c r="S136" s="324" t="str">
        <f t="shared" si="6"/>
        <v>sûr</v>
      </c>
      <c r="T136" s="325" t="str">
        <f t="shared" si="7"/>
        <v>fluide</v>
      </c>
      <c r="U136" s="228" t="s">
        <v>1673</v>
      </c>
      <c r="V136" s="228" t="s">
        <v>1673</v>
      </c>
      <c r="W136" s="228" t="s">
        <v>1673</v>
      </c>
      <c r="X136" s="229" t="s">
        <v>1673</v>
      </c>
      <c r="Y136" s="288" t="str">
        <f t="shared" si="8"/>
        <v>non</v>
      </c>
      <c r="Z136" s="328" t="str">
        <f t="shared" si="9"/>
        <v>faible</v>
      </c>
      <c r="AA136" s="9"/>
      <c r="AB136" s="1"/>
      <c r="AC136" s="190">
        <f>_xlfn.XLOOKUP(E136&amp;F136&amp;G136&amp;H136&amp;I136&amp;J136&amp;K136&amp;L136&amp;M136&amp;N136&amp;O136&amp;P136,'[2]2.4 wsLookup'!$M$2:$M$96,'[2]2.4 wsLookup'!$N$2:$N$96,"Introuvable")</f>
        <v>1.8100000000000002E-3</v>
      </c>
      <c r="AD136" s="190">
        <f>_xlfn.XLOOKUP(E136&amp;F136&amp;G136&amp;H136&amp;I136&amp;J136&amp;K136&amp;L136&amp;M136&amp;N136&amp;O136&amp;P136,'[2]2.4 wsLookup'!$M$2:$M$96,'[2]2.4 wsLookup'!$O$2:$O$96,"Introuvable")</f>
        <v>0.61</v>
      </c>
      <c r="AE136" s="90">
        <f t="shared" si="11"/>
        <v>0.57953097912569174</v>
      </c>
      <c r="AF136" s="206">
        <f>_xlfn.XLOOKUP(E136&amp;F136&amp;G136&amp;H136&amp;I136&amp;J136&amp;K136&amp;L136&amp;M136&amp;N136&amp;O136&amp;P136,'[2]2.4 wsLookup'!$M$2:$M$96,'[2]2.4 wsLookup'!$Q$2:$Q$96,"Introuvable")</f>
        <v>0.76086371289166055</v>
      </c>
      <c r="AG136" s="91">
        <f>_xlfn.XLOOKUP(E136&amp;F136&amp;G136&amp;H136&amp;I136&amp;J136&amp;K136&amp;L136&amp;M136&amp;N136&amp;O136&amp;P136,'[2]2.4 wsLookup'!$M$2:$M$96,'[2]2.4 wsLookup'!$P$2:$P$96,"Introuvable")</f>
        <v>6.7000000000000004E-2</v>
      </c>
      <c r="AH136" s="91">
        <f>_xlfn.XLOOKUP(E136&amp;F136&amp;G136&amp;H136&amp;I136&amp;J136&amp;K136&amp;L136&amp;M136&amp;N136&amp;O136&amp;P136,'[2]2.4 wsLookup'!$M$2:$M$96,'[2]2.4 wsLookup'!$R$2:$R$96,"Introuvable")</f>
        <v>6.8499999999999991E-2</v>
      </c>
      <c r="AI136" s="193">
        <f>_xlfn.XLOOKUP(E136&amp;F136&amp;G136&amp;H136&amp;I136&amp;J136&amp;K136&amp;L136&amp;M136&amp;N136&amp;O136&amp;P136,'[2]2.4 wsLookup'!$M$2:$M$96,'[2]2.4 wsLookup'!$S$2:$S$96,"Introuvable")</f>
        <v>20000</v>
      </c>
      <c r="AK136" t="str">
        <f t="shared" si="10"/>
        <v>hors localité|-|-|-|-|Route Principale|Circulation mixte|non|-|-|Piste cyclable|-</v>
      </c>
      <c r="AO136" t="s">
        <v>1804</v>
      </c>
    </row>
    <row r="137" spans="1:41" ht="39" customHeight="1">
      <c r="A137" s="1"/>
      <c r="B137" s="1"/>
      <c r="C137" s="188" t="s">
        <v>1849</v>
      </c>
      <c r="D137" s="224" t="s">
        <v>1678</v>
      </c>
      <c r="E137" s="225" t="s">
        <v>1705</v>
      </c>
      <c r="F137" s="225" t="s">
        <v>256</v>
      </c>
      <c r="G137" s="225" t="s">
        <v>256</v>
      </c>
      <c r="H137" s="225" t="s">
        <v>256</v>
      </c>
      <c r="I137" s="225" t="s">
        <v>256</v>
      </c>
      <c r="J137" s="320" t="s">
        <v>1776</v>
      </c>
      <c r="K137" s="224" t="s">
        <v>1777</v>
      </c>
      <c r="L137" s="224" t="s">
        <v>1673</v>
      </c>
      <c r="M137" s="224" t="s">
        <v>256</v>
      </c>
      <c r="N137" s="224" t="s">
        <v>256</v>
      </c>
      <c r="O137" s="320" t="s">
        <v>1778</v>
      </c>
      <c r="P137" s="226" t="s">
        <v>256</v>
      </c>
      <c r="Q137" s="374">
        <v>13573</v>
      </c>
      <c r="R137" s="323" t="s">
        <v>1673</v>
      </c>
      <c r="S137" s="324" t="str">
        <f t="shared" si="6"/>
        <v>sûr</v>
      </c>
      <c r="T137" s="325" t="str">
        <f t="shared" si="7"/>
        <v>fluide</v>
      </c>
      <c r="U137" s="228" t="s">
        <v>1673</v>
      </c>
      <c r="V137" s="228" t="s">
        <v>1673</v>
      </c>
      <c r="W137" s="228" t="s">
        <v>1673</v>
      </c>
      <c r="X137" s="229" t="s">
        <v>1673</v>
      </c>
      <c r="Y137" s="288" t="str">
        <f t="shared" si="8"/>
        <v>non</v>
      </c>
      <c r="Z137" s="328" t="str">
        <f t="shared" si="9"/>
        <v>faible</v>
      </c>
      <c r="AA137" s="9"/>
      <c r="AB137" s="1"/>
      <c r="AC137" s="190">
        <f>_xlfn.XLOOKUP(E137&amp;F137&amp;G137&amp;H137&amp;I137&amp;J137&amp;K137&amp;L137&amp;M137&amp;N137&amp;O137&amp;P137,'[2]2.4 wsLookup'!$M$2:$M$96,'[2]2.4 wsLookup'!$N$2:$N$96,"Introuvable")</f>
        <v>1.8100000000000002E-3</v>
      </c>
      <c r="AD137" s="190">
        <f>_xlfn.XLOOKUP(E137&amp;F137&amp;G137&amp;H137&amp;I137&amp;J137&amp;K137&amp;L137&amp;M137&amp;N137&amp;O137&amp;P137,'[2]2.4 wsLookup'!$M$2:$M$96,'[2]2.4 wsLookup'!$O$2:$O$96,"Introuvable")</f>
        <v>0.61</v>
      </c>
      <c r="AE137" s="90">
        <f t="shared" si="11"/>
        <v>0.6006352864969049</v>
      </c>
      <c r="AF137" s="206">
        <f>_xlfn.XLOOKUP(E137&amp;F137&amp;G137&amp;H137&amp;I137&amp;J137&amp;K137&amp;L137&amp;M137&amp;N137&amp;O137&amp;P137,'[2]2.4 wsLookup'!$M$2:$M$96,'[2]2.4 wsLookup'!$Q$2:$Q$96,"Introuvable")</f>
        <v>0.76086371289166055</v>
      </c>
      <c r="AG137" s="91">
        <f>_xlfn.XLOOKUP(E137&amp;F137&amp;G137&amp;H137&amp;I137&amp;J137&amp;K137&amp;L137&amp;M137&amp;N137&amp;O137&amp;P137,'[2]2.4 wsLookup'!$M$2:$M$96,'[2]2.4 wsLookup'!$P$2:$P$96,"Introuvable")</f>
        <v>6.7000000000000004E-2</v>
      </c>
      <c r="AH137" s="91">
        <f>_xlfn.XLOOKUP(E137&amp;F137&amp;G137&amp;H137&amp;I137&amp;J137&amp;K137&amp;L137&amp;M137&amp;N137&amp;O137&amp;P137,'[2]2.4 wsLookup'!$M$2:$M$96,'[2]2.4 wsLookup'!$R$2:$R$96,"Introuvable")</f>
        <v>6.8499999999999991E-2</v>
      </c>
      <c r="AI137" s="193">
        <f>_xlfn.XLOOKUP(E137&amp;F137&amp;G137&amp;H137&amp;I137&amp;J137&amp;K137&amp;L137&amp;M137&amp;N137&amp;O137&amp;P137,'[2]2.4 wsLookup'!$M$2:$M$96,'[2]2.4 wsLookup'!$S$2:$S$96,"Introuvable")</f>
        <v>20000</v>
      </c>
      <c r="AK137" t="str">
        <f t="shared" si="10"/>
        <v>hors localité|-|-|-|-|Route Principale|Circulation mixte|non|-|-|Sans|-</v>
      </c>
      <c r="AO137" t="s">
        <v>1804</v>
      </c>
    </row>
    <row r="138" spans="1:41" ht="39" customHeight="1">
      <c r="A138" s="1"/>
      <c r="B138" s="1"/>
      <c r="C138" s="188" t="s">
        <v>1850</v>
      </c>
      <c r="D138" s="224" t="s">
        <v>1678</v>
      </c>
      <c r="E138" s="225" t="s">
        <v>1705</v>
      </c>
      <c r="F138" s="225" t="s">
        <v>256</v>
      </c>
      <c r="G138" s="225" t="s">
        <v>256</v>
      </c>
      <c r="H138" s="225" t="s">
        <v>256</v>
      </c>
      <c r="I138" s="225" t="s">
        <v>256</v>
      </c>
      <c r="J138" s="320" t="s">
        <v>1776</v>
      </c>
      <c r="K138" s="224" t="s">
        <v>1777</v>
      </c>
      <c r="L138" s="224" t="s">
        <v>1673</v>
      </c>
      <c r="M138" s="224" t="s">
        <v>256</v>
      </c>
      <c r="N138" s="224" t="s">
        <v>256</v>
      </c>
      <c r="O138" s="320" t="s">
        <v>1799</v>
      </c>
      <c r="P138" s="226" t="s">
        <v>256</v>
      </c>
      <c r="Q138" s="374">
        <v>12800</v>
      </c>
      <c r="R138" s="323" t="s">
        <v>1673</v>
      </c>
      <c r="S138" s="324" t="str">
        <f t="shared" si="6"/>
        <v>sûr</v>
      </c>
      <c r="T138" s="325" t="str">
        <f t="shared" si="7"/>
        <v>fluide</v>
      </c>
      <c r="U138" s="228" t="s">
        <v>1673</v>
      </c>
      <c r="V138" s="228" t="s">
        <v>1673</v>
      </c>
      <c r="W138" s="228" t="s">
        <v>1673</v>
      </c>
      <c r="X138" s="229" t="s">
        <v>1673</v>
      </c>
      <c r="Y138" s="288" t="str">
        <f t="shared" si="8"/>
        <v>non</v>
      </c>
      <c r="Z138" s="328" t="str">
        <f t="shared" si="9"/>
        <v>faible</v>
      </c>
      <c r="AA138" s="9"/>
      <c r="AB138" s="1"/>
      <c r="AC138" s="190">
        <f>_xlfn.XLOOKUP(E138&amp;F138&amp;G138&amp;H138&amp;I138&amp;J138&amp;K138&amp;L138&amp;M138&amp;N138&amp;O138&amp;P138,'[2]2.4 wsLookup'!$M$2:$M$96,'[2]2.4 wsLookup'!$N$2:$N$96,"Introuvable")</f>
        <v>1.8100000000000002E-3</v>
      </c>
      <c r="AD138" s="190">
        <f>_xlfn.XLOOKUP(E138&amp;F138&amp;G138&amp;H138&amp;I138&amp;J138&amp;K138&amp;L138&amp;M138&amp;N138&amp;O138&amp;P138,'[2]2.4 wsLookup'!$M$2:$M$96,'[2]2.4 wsLookup'!$O$2:$O$96,"Introuvable")</f>
        <v>0.61</v>
      </c>
      <c r="AE138" s="90">
        <f t="shared" si="11"/>
        <v>0.57953097912569174</v>
      </c>
      <c r="AF138" s="206">
        <f>_xlfn.XLOOKUP(E138&amp;F138&amp;G138&amp;H138&amp;I138&amp;J138&amp;K138&amp;L138&amp;M138&amp;N138&amp;O138&amp;P138,'[2]2.4 wsLookup'!$M$2:$M$96,'[2]2.4 wsLookup'!$Q$2:$Q$96,"Introuvable")</f>
        <v>0.76086371289166055</v>
      </c>
      <c r="AG138" s="91">
        <f>_xlfn.XLOOKUP(E138&amp;F138&amp;G138&amp;H138&amp;I138&amp;J138&amp;K138&amp;L138&amp;M138&amp;N138&amp;O138&amp;P138,'[2]2.4 wsLookup'!$M$2:$M$96,'[2]2.4 wsLookup'!$P$2:$P$96,"Introuvable")</f>
        <v>6.7000000000000004E-2</v>
      </c>
      <c r="AH138" s="91">
        <f>_xlfn.XLOOKUP(E138&amp;F138&amp;G138&amp;H138&amp;I138&amp;J138&amp;K138&amp;L138&amp;M138&amp;N138&amp;O138&amp;P138,'[2]2.4 wsLookup'!$M$2:$M$96,'[2]2.4 wsLookup'!$R$2:$R$96,"Introuvable")</f>
        <v>6.8499999999999991E-2</v>
      </c>
      <c r="AI138" s="193">
        <f>_xlfn.XLOOKUP(E138&amp;F138&amp;G138&amp;H138&amp;I138&amp;J138&amp;K138&amp;L138&amp;M138&amp;N138&amp;O138&amp;P138,'[2]2.4 wsLookup'!$M$2:$M$96,'[2]2.4 wsLookup'!$S$2:$S$96,"Introuvable")</f>
        <v>20000</v>
      </c>
      <c r="AK138" t="str">
        <f t="shared" si="10"/>
        <v>hors localité|-|-|-|-|Route Principale|Circulation mixte|non|-|-|Piste cyclable|-</v>
      </c>
      <c r="AO138" t="s">
        <v>1804</v>
      </c>
    </row>
    <row r="139" spans="1:41" ht="39" customHeight="1">
      <c r="A139" s="1"/>
      <c r="B139" s="1"/>
      <c r="C139" s="188" t="s">
        <v>1851</v>
      </c>
      <c r="D139" s="224" t="s">
        <v>1678</v>
      </c>
      <c r="E139" s="225" t="s">
        <v>1705</v>
      </c>
      <c r="F139" s="225" t="s">
        <v>256</v>
      </c>
      <c r="G139" s="225" t="s">
        <v>256</v>
      </c>
      <c r="H139" s="225" t="s">
        <v>256</v>
      </c>
      <c r="I139" s="225" t="s">
        <v>256</v>
      </c>
      <c r="J139" s="320" t="s">
        <v>1776</v>
      </c>
      <c r="K139" s="224" t="s">
        <v>1777</v>
      </c>
      <c r="L139" s="224" t="s">
        <v>1673</v>
      </c>
      <c r="M139" s="224" t="s">
        <v>256</v>
      </c>
      <c r="N139" s="224" t="s">
        <v>256</v>
      </c>
      <c r="O139" s="320" t="s">
        <v>1799</v>
      </c>
      <c r="P139" s="226" t="s">
        <v>256</v>
      </c>
      <c r="Q139" s="374">
        <v>12800</v>
      </c>
      <c r="R139" s="323" t="s">
        <v>1673</v>
      </c>
      <c r="S139" s="324" t="str">
        <f t="shared" si="6"/>
        <v>sûr</v>
      </c>
      <c r="T139" s="325" t="str">
        <f t="shared" si="7"/>
        <v>fluide</v>
      </c>
      <c r="U139" s="228" t="s">
        <v>1673</v>
      </c>
      <c r="V139" s="228" t="s">
        <v>1673</v>
      </c>
      <c r="W139" s="228" t="s">
        <v>1673</v>
      </c>
      <c r="X139" s="229" t="s">
        <v>1673</v>
      </c>
      <c r="Y139" s="288" t="str">
        <f t="shared" si="8"/>
        <v>non</v>
      </c>
      <c r="Z139" s="328" t="str">
        <f t="shared" si="9"/>
        <v>faible</v>
      </c>
      <c r="AA139" s="9"/>
      <c r="AB139" s="1"/>
      <c r="AC139" s="190">
        <f>_xlfn.XLOOKUP(E139&amp;F139&amp;G139&amp;H139&amp;I139&amp;J139&amp;K139&amp;L139&amp;M139&amp;N139&amp;O139&amp;P139,'[2]2.4 wsLookup'!$M$2:$M$96,'[2]2.4 wsLookup'!$N$2:$N$96,"Introuvable")</f>
        <v>1.8100000000000002E-3</v>
      </c>
      <c r="AD139" s="190">
        <f>_xlfn.XLOOKUP(E139&amp;F139&amp;G139&amp;H139&amp;I139&amp;J139&amp;K139&amp;L139&amp;M139&amp;N139&amp;O139&amp;P139,'[2]2.4 wsLookup'!$M$2:$M$96,'[2]2.4 wsLookup'!$O$2:$O$96,"Introuvable")</f>
        <v>0.61</v>
      </c>
      <c r="AE139" s="90">
        <f t="shared" si="11"/>
        <v>0.57953097912569174</v>
      </c>
      <c r="AF139" s="206">
        <f>_xlfn.XLOOKUP(E139&amp;F139&amp;G139&amp;H139&amp;I139&amp;J139&amp;K139&amp;L139&amp;M139&amp;N139&amp;O139&amp;P139,'[2]2.4 wsLookup'!$M$2:$M$96,'[2]2.4 wsLookup'!$Q$2:$Q$96,"Introuvable")</f>
        <v>0.76086371289166055</v>
      </c>
      <c r="AG139" s="91">
        <f>_xlfn.XLOOKUP(E139&amp;F139&amp;G139&amp;H139&amp;I139&amp;J139&amp;K139&amp;L139&amp;M139&amp;N139&amp;O139&amp;P139,'[2]2.4 wsLookup'!$M$2:$M$96,'[2]2.4 wsLookup'!$P$2:$P$96,"Introuvable")</f>
        <v>6.7000000000000004E-2</v>
      </c>
      <c r="AH139" s="91">
        <f>_xlfn.XLOOKUP(E139&amp;F139&amp;G139&amp;H139&amp;I139&amp;J139&amp;K139&amp;L139&amp;M139&amp;N139&amp;O139&amp;P139,'[2]2.4 wsLookup'!$M$2:$M$96,'[2]2.4 wsLookup'!$R$2:$R$96,"Introuvable")</f>
        <v>6.8499999999999991E-2</v>
      </c>
      <c r="AI139" s="193">
        <f>_xlfn.XLOOKUP(E139&amp;F139&amp;G139&amp;H139&amp;I139&amp;J139&amp;K139&amp;L139&amp;M139&amp;N139&amp;O139&amp;P139,'[2]2.4 wsLookup'!$M$2:$M$96,'[2]2.4 wsLookup'!$S$2:$S$96,"Introuvable")</f>
        <v>20000</v>
      </c>
      <c r="AK139" t="str">
        <f t="shared" si="10"/>
        <v>hors localité|-|-|-|-|Route Principale|Circulation mixte|non|-|-|Piste cyclable|-</v>
      </c>
      <c r="AO139" t="s">
        <v>1804</v>
      </c>
    </row>
    <row r="140" spans="1:41" ht="39" customHeight="1">
      <c r="A140" s="1"/>
      <c r="B140" s="1"/>
      <c r="C140" s="188" t="s">
        <v>1852</v>
      </c>
      <c r="D140" s="224" t="s">
        <v>1678</v>
      </c>
      <c r="E140" s="225" t="s">
        <v>1705</v>
      </c>
      <c r="F140" s="225" t="s">
        <v>256</v>
      </c>
      <c r="G140" s="225" t="s">
        <v>256</v>
      </c>
      <c r="H140" s="225" t="s">
        <v>256</v>
      </c>
      <c r="I140" s="225" t="s">
        <v>256</v>
      </c>
      <c r="J140" s="320" t="s">
        <v>1776</v>
      </c>
      <c r="K140" s="224" t="s">
        <v>1777</v>
      </c>
      <c r="L140" s="224" t="s">
        <v>1673</v>
      </c>
      <c r="M140" s="224" t="s">
        <v>256</v>
      </c>
      <c r="N140" s="224" t="s">
        <v>256</v>
      </c>
      <c r="O140" s="320" t="s">
        <v>1799</v>
      </c>
      <c r="P140" s="226" t="s">
        <v>256</v>
      </c>
      <c r="Q140" s="374">
        <v>12800</v>
      </c>
      <c r="R140" s="323" t="s">
        <v>1673</v>
      </c>
      <c r="S140" s="324" t="str">
        <f t="shared" si="6"/>
        <v>sûr</v>
      </c>
      <c r="T140" s="325" t="str">
        <f t="shared" si="7"/>
        <v>fluide</v>
      </c>
      <c r="U140" s="228" t="s">
        <v>1673</v>
      </c>
      <c r="V140" s="228" t="s">
        <v>1673</v>
      </c>
      <c r="W140" s="228" t="s">
        <v>1673</v>
      </c>
      <c r="X140" s="229" t="s">
        <v>1673</v>
      </c>
      <c r="Y140" s="288" t="str">
        <f t="shared" si="8"/>
        <v>non</v>
      </c>
      <c r="Z140" s="328" t="str">
        <f t="shared" si="9"/>
        <v>faible</v>
      </c>
      <c r="AA140" s="9"/>
      <c r="AB140" s="1"/>
      <c r="AC140" s="190">
        <f>_xlfn.XLOOKUP(E140&amp;F140&amp;G140&amp;H140&amp;I140&amp;J140&amp;K140&amp;L140&amp;M140&amp;N140&amp;O140&amp;P140,'[2]2.4 wsLookup'!$M$2:$M$96,'[2]2.4 wsLookup'!$N$2:$N$96,"Introuvable")</f>
        <v>1.8100000000000002E-3</v>
      </c>
      <c r="AD140" s="190">
        <f>_xlfn.XLOOKUP(E140&amp;F140&amp;G140&amp;H140&amp;I140&amp;J140&amp;K140&amp;L140&amp;M140&amp;N140&amp;O140&amp;P140,'[2]2.4 wsLookup'!$M$2:$M$96,'[2]2.4 wsLookup'!$O$2:$O$96,"Introuvable")</f>
        <v>0.61</v>
      </c>
      <c r="AE140" s="90">
        <f t="shared" si="11"/>
        <v>0.57953097912569174</v>
      </c>
      <c r="AF140" s="206">
        <f>_xlfn.XLOOKUP(E140&amp;F140&amp;G140&amp;H140&amp;I140&amp;J140&amp;K140&amp;L140&amp;M140&amp;N140&amp;O140&amp;P140,'[2]2.4 wsLookup'!$M$2:$M$96,'[2]2.4 wsLookup'!$Q$2:$Q$96,"Introuvable")</f>
        <v>0.76086371289166055</v>
      </c>
      <c r="AG140" s="91">
        <f>_xlfn.XLOOKUP(E140&amp;F140&amp;G140&amp;H140&amp;I140&amp;J140&amp;K140&amp;L140&amp;M140&amp;N140&amp;O140&amp;P140,'[2]2.4 wsLookup'!$M$2:$M$96,'[2]2.4 wsLookup'!$P$2:$P$96,"Introuvable")</f>
        <v>6.7000000000000004E-2</v>
      </c>
      <c r="AH140" s="91">
        <f>_xlfn.XLOOKUP(E140&amp;F140&amp;G140&amp;H140&amp;I140&amp;J140&amp;K140&amp;L140&amp;M140&amp;N140&amp;O140&amp;P140,'[2]2.4 wsLookup'!$M$2:$M$96,'[2]2.4 wsLookup'!$R$2:$R$96,"Introuvable")</f>
        <v>6.8499999999999991E-2</v>
      </c>
      <c r="AI140" s="193">
        <f>_xlfn.XLOOKUP(E140&amp;F140&amp;G140&amp;H140&amp;I140&amp;J140&amp;K140&amp;L140&amp;M140&amp;N140&amp;O140&amp;P140,'[2]2.4 wsLookup'!$M$2:$M$96,'[2]2.4 wsLookup'!$S$2:$S$96,"Introuvable")</f>
        <v>20000</v>
      </c>
      <c r="AK140" t="str">
        <f t="shared" si="10"/>
        <v>hors localité|-|-|-|-|Route Principale|Circulation mixte|non|-|-|Piste cyclable|-</v>
      </c>
      <c r="AO140" t="str">
        <f>E16 &amp; "|" &amp; F16 &amp; "|" &amp; G16 &amp; "|" &amp; H16 &amp; "|" &amp; I16 &amp; "|" &amp; S16 &amp; "|" &amp; T16 &amp; "|" &amp; U16 &amp; "|" &amp; V16 &amp; "|" &amp; W16 &amp; "|" &amp; X16 &amp; "|" &amp; Y16 &amp; "|" &amp; Z16</f>
        <v>en localité|non|&gt;3|non|non|acceptable|fluide|non|oui|non|non|oui|élevé</v>
      </c>
    </row>
    <row r="141" spans="1:41" ht="39" customHeight="1">
      <c r="A141" s="1"/>
      <c r="B141" s="1"/>
      <c r="C141" s="188" t="s">
        <v>1853</v>
      </c>
      <c r="D141" s="224" t="s">
        <v>1678</v>
      </c>
      <c r="E141" s="225" t="s">
        <v>1705</v>
      </c>
      <c r="F141" s="225" t="s">
        <v>256</v>
      </c>
      <c r="G141" s="225" t="s">
        <v>256</v>
      </c>
      <c r="H141" s="225" t="s">
        <v>256</v>
      </c>
      <c r="I141" s="225" t="s">
        <v>256</v>
      </c>
      <c r="J141" s="320" t="s">
        <v>1776</v>
      </c>
      <c r="K141" s="224" t="s">
        <v>1777</v>
      </c>
      <c r="L141" s="224" t="s">
        <v>1673</v>
      </c>
      <c r="M141" s="224" t="s">
        <v>256</v>
      </c>
      <c r="N141" s="224" t="s">
        <v>256</v>
      </c>
      <c r="O141" s="320" t="s">
        <v>1778</v>
      </c>
      <c r="P141" s="226" t="s">
        <v>256</v>
      </c>
      <c r="Q141" s="374">
        <v>13573</v>
      </c>
      <c r="R141" s="323" t="s">
        <v>1673</v>
      </c>
      <c r="S141" s="324" t="str">
        <f t="shared" si="6"/>
        <v>sûr</v>
      </c>
      <c r="T141" s="325" t="str">
        <f t="shared" si="7"/>
        <v>fluide</v>
      </c>
      <c r="U141" s="228" t="s">
        <v>1673</v>
      </c>
      <c r="V141" s="228" t="s">
        <v>1673</v>
      </c>
      <c r="W141" s="228" t="s">
        <v>1673</v>
      </c>
      <c r="X141" s="229" t="s">
        <v>1674</v>
      </c>
      <c r="Y141" s="288" t="str">
        <f t="shared" si="8"/>
        <v>oui</v>
      </c>
      <c r="Z141" s="328" t="str">
        <f t="shared" si="9"/>
        <v>élevé</v>
      </c>
      <c r="AA141" s="9"/>
      <c r="AB141" s="1"/>
      <c r="AC141" s="190">
        <f>_xlfn.XLOOKUP(E141&amp;F141&amp;G141&amp;H141&amp;I141&amp;J141&amp;K141&amp;L141&amp;M141&amp;N141&amp;O141&amp;P141,'[2]2.4 wsLookup'!$M$2:$M$96,'[2]2.4 wsLookup'!$N$2:$N$96,"Introuvable")</f>
        <v>1.8100000000000002E-3</v>
      </c>
      <c r="AD141" s="190">
        <f>_xlfn.XLOOKUP(E141&amp;F141&amp;G141&amp;H141&amp;I141&amp;J141&amp;K141&amp;L141&amp;M141&amp;N141&amp;O141&amp;P141,'[2]2.4 wsLookup'!$M$2:$M$96,'[2]2.4 wsLookup'!$O$2:$O$96,"Introuvable")</f>
        <v>0.61</v>
      </c>
      <c r="AE141" s="90">
        <f t="shared" si="11"/>
        <v>0.6006352864969049</v>
      </c>
      <c r="AF141" s="206">
        <f>_xlfn.XLOOKUP(E141&amp;F141&amp;G141&amp;H141&amp;I141&amp;J141&amp;K141&amp;L141&amp;M141&amp;N141&amp;O141&amp;P141,'[2]2.4 wsLookup'!$M$2:$M$96,'[2]2.4 wsLookup'!$Q$2:$Q$96,"Introuvable")</f>
        <v>0.76086371289166055</v>
      </c>
      <c r="AG141" s="91">
        <f>_xlfn.XLOOKUP(E141&amp;F141&amp;G141&amp;H141&amp;I141&amp;J141&amp;K141&amp;L141&amp;M141&amp;N141&amp;O141&amp;P141,'[2]2.4 wsLookup'!$M$2:$M$96,'[2]2.4 wsLookup'!$P$2:$P$96,"Introuvable")</f>
        <v>6.7000000000000004E-2</v>
      </c>
      <c r="AH141" s="91">
        <f>_xlfn.XLOOKUP(E141&amp;F141&amp;G141&amp;H141&amp;I141&amp;J141&amp;K141&amp;L141&amp;M141&amp;N141&amp;O141&amp;P141,'[2]2.4 wsLookup'!$M$2:$M$96,'[2]2.4 wsLookup'!$R$2:$R$96,"Introuvable")</f>
        <v>6.8499999999999991E-2</v>
      </c>
      <c r="AI141" s="193">
        <f>_xlfn.XLOOKUP(E141&amp;F141&amp;G141&amp;H141&amp;I141&amp;J141&amp;K141&amp;L141&amp;M141&amp;N141&amp;O141&amp;P141,'[2]2.4 wsLookup'!$M$2:$M$96,'[2]2.4 wsLookup'!$S$2:$S$96,"Introuvable")</f>
        <v>20000</v>
      </c>
      <c r="AK141" t="str">
        <f t="shared" si="10"/>
        <v>hors localité|-|-|-|-|Route Principale|Circulation mixte|non|-|-|Sans|-</v>
      </c>
      <c r="AO141" t="str">
        <f t="shared" ref="AO141:AO204" si="12">E17 &amp; "|" &amp; F17 &amp; "|" &amp; G17 &amp; "|" &amp; H17 &amp; "|" &amp; I17 &amp; "|" &amp; S17 &amp; "|" &amp; T17 &amp; "|" &amp; U17 &amp; "|" &amp; V17 &amp; "|" &amp; W17 &amp; "|" &amp; X17 &amp; "|" &amp; Y17 &amp; "|" &amp; Z17</f>
        <v>en localité|non|3|non|non|sûr|acceptable|non|non|non|non|non|moyen</v>
      </c>
    </row>
    <row r="142" spans="1:41" ht="39" customHeight="1">
      <c r="A142" s="1"/>
      <c r="B142" s="1"/>
      <c r="C142" s="188" t="s">
        <v>1854</v>
      </c>
      <c r="D142" s="224" t="s">
        <v>1678</v>
      </c>
      <c r="E142" s="225" t="s">
        <v>1705</v>
      </c>
      <c r="F142" s="225" t="s">
        <v>256</v>
      </c>
      <c r="G142" s="225" t="s">
        <v>256</v>
      </c>
      <c r="H142" s="225" t="s">
        <v>256</v>
      </c>
      <c r="I142" s="225" t="s">
        <v>256</v>
      </c>
      <c r="J142" s="320" t="s">
        <v>1776</v>
      </c>
      <c r="K142" s="224" t="s">
        <v>1777</v>
      </c>
      <c r="L142" s="224" t="s">
        <v>1673</v>
      </c>
      <c r="M142" s="224" t="s">
        <v>256</v>
      </c>
      <c r="N142" s="224" t="s">
        <v>256</v>
      </c>
      <c r="O142" s="320" t="s">
        <v>1799</v>
      </c>
      <c r="P142" s="226" t="s">
        <v>256</v>
      </c>
      <c r="Q142" s="374">
        <v>5965</v>
      </c>
      <c r="R142" s="323" t="s">
        <v>1673</v>
      </c>
      <c r="S142" s="324" t="str">
        <f t="shared" si="6"/>
        <v>sûr</v>
      </c>
      <c r="T142" s="325" t="str">
        <f t="shared" si="7"/>
        <v>fluide</v>
      </c>
      <c r="U142" s="228" t="s">
        <v>1673</v>
      </c>
      <c r="V142" s="228" t="s">
        <v>1673</v>
      </c>
      <c r="W142" s="228" t="s">
        <v>1673</v>
      </c>
      <c r="X142" s="229" t="s">
        <v>1673</v>
      </c>
      <c r="Y142" s="288" t="str">
        <f t="shared" si="8"/>
        <v>non</v>
      </c>
      <c r="Z142" s="328" t="str">
        <f t="shared" si="9"/>
        <v>faible</v>
      </c>
      <c r="AA142" s="9"/>
      <c r="AB142" s="1"/>
      <c r="AC142" s="190">
        <f>_xlfn.XLOOKUP(E142&amp;F142&amp;G142&amp;H142&amp;I142&amp;J142&amp;K142&amp;L142&amp;M142&amp;N142&amp;O142&amp;P142,'[2]2.4 wsLookup'!$M$2:$M$96,'[2]2.4 wsLookup'!$N$2:$N$96,"Introuvable")</f>
        <v>1.8100000000000002E-3</v>
      </c>
      <c r="AD142" s="190">
        <f>_xlfn.XLOOKUP(E142&amp;F142&amp;G142&amp;H142&amp;I142&amp;J142&amp;K142&amp;L142&amp;M142&amp;N142&amp;O142&amp;P142,'[2]2.4 wsLookup'!$M$2:$M$96,'[2]2.4 wsLookup'!$O$2:$O$96,"Introuvable")</f>
        <v>0.61</v>
      </c>
      <c r="AE142" s="90">
        <f t="shared" si="11"/>
        <v>0.36374827977814195</v>
      </c>
      <c r="AF142" s="206">
        <f>_xlfn.XLOOKUP(E142&amp;F142&amp;G142&amp;H142&amp;I142&amp;J142&amp;K142&amp;L142&amp;M142&amp;N142&amp;O142&amp;P142,'[2]2.4 wsLookup'!$M$2:$M$96,'[2]2.4 wsLookup'!$Q$2:$Q$96,"Introuvable")</f>
        <v>0.76086371289166055</v>
      </c>
      <c r="AG142" s="91">
        <f>_xlfn.XLOOKUP(E142&amp;F142&amp;G142&amp;H142&amp;I142&amp;J142&amp;K142&amp;L142&amp;M142&amp;N142&amp;O142&amp;P142,'[2]2.4 wsLookup'!$M$2:$M$96,'[2]2.4 wsLookup'!$P$2:$P$96,"Introuvable")</f>
        <v>6.7000000000000004E-2</v>
      </c>
      <c r="AH142" s="91">
        <f>_xlfn.XLOOKUP(E142&amp;F142&amp;G142&amp;H142&amp;I142&amp;J142&amp;K142&amp;L142&amp;M142&amp;N142&amp;O142&amp;P142,'[2]2.4 wsLookup'!$M$2:$M$96,'[2]2.4 wsLookup'!$R$2:$R$96,"Introuvable")</f>
        <v>6.8499999999999991E-2</v>
      </c>
      <c r="AI142" s="193">
        <f>_xlfn.XLOOKUP(E142&amp;F142&amp;G142&amp;H142&amp;I142&amp;J142&amp;K142&amp;L142&amp;M142&amp;N142&amp;O142&amp;P142,'[2]2.4 wsLookup'!$M$2:$M$96,'[2]2.4 wsLookup'!$S$2:$S$96,"Introuvable")</f>
        <v>20000</v>
      </c>
      <c r="AK142" t="str">
        <f t="shared" si="10"/>
        <v>hors localité|-|-|-|-|Route Principale|Circulation mixte|non|-|-|Piste cyclable|-</v>
      </c>
      <c r="AO142" t="str">
        <f t="shared" si="12"/>
        <v>en localité|non|3|oui|oui|sûr|fluide|non|non|non|non|non|faible</v>
      </c>
    </row>
    <row r="143" spans="1:41" ht="39" customHeight="1">
      <c r="A143" s="1"/>
      <c r="B143" s="1"/>
      <c r="C143" s="188" t="s">
        <v>1855</v>
      </c>
      <c r="D143" s="224" t="s">
        <v>1678</v>
      </c>
      <c r="E143" s="225" t="s">
        <v>1705</v>
      </c>
      <c r="F143" s="225" t="s">
        <v>256</v>
      </c>
      <c r="G143" s="225" t="s">
        <v>256</v>
      </c>
      <c r="H143" s="225" t="s">
        <v>256</v>
      </c>
      <c r="I143" s="225" t="s">
        <v>256</v>
      </c>
      <c r="J143" s="320" t="s">
        <v>1776</v>
      </c>
      <c r="K143" s="224" t="s">
        <v>1777</v>
      </c>
      <c r="L143" s="224" t="s">
        <v>1673</v>
      </c>
      <c r="M143" s="224" t="s">
        <v>256</v>
      </c>
      <c r="N143" s="224" t="s">
        <v>256</v>
      </c>
      <c r="O143" s="320" t="s">
        <v>1799</v>
      </c>
      <c r="P143" s="226" t="s">
        <v>256</v>
      </c>
      <c r="Q143" s="374">
        <v>5965</v>
      </c>
      <c r="R143" s="323" t="s">
        <v>1673</v>
      </c>
      <c r="S143" s="324" t="str">
        <f t="shared" si="6"/>
        <v>sûr</v>
      </c>
      <c r="T143" s="325" t="str">
        <f t="shared" si="7"/>
        <v>fluide</v>
      </c>
      <c r="U143" s="228" t="s">
        <v>1673</v>
      </c>
      <c r="V143" s="228" t="s">
        <v>1673</v>
      </c>
      <c r="W143" s="228" t="s">
        <v>1673</v>
      </c>
      <c r="X143" s="229" t="s">
        <v>1673</v>
      </c>
      <c r="Y143" s="288" t="str">
        <f t="shared" si="8"/>
        <v>non</v>
      </c>
      <c r="Z143" s="328" t="str">
        <f t="shared" si="9"/>
        <v>faible</v>
      </c>
      <c r="AA143" s="9"/>
      <c r="AB143" s="1"/>
      <c r="AC143" s="190">
        <f>_xlfn.XLOOKUP(E143&amp;F143&amp;G143&amp;H143&amp;I143&amp;J143&amp;K143&amp;L143&amp;M143&amp;N143&amp;O143&amp;P143,'[2]2.4 wsLookup'!$M$2:$M$96,'[2]2.4 wsLookup'!$N$2:$N$96,"Introuvable")</f>
        <v>1.8100000000000002E-3</v>
      </c>
      <c r="AD143" s="190">
        <f>_xlfn.XLOOKUP(E143&amp;F143&amp;G143&amp;H143&amp;I143&amp;J143&amp;K143&amp;L143&amp;M143&amp;N143&amp;O143&amp;P143,'[2]2.4 wsLookup'!$M$2:$M$96,'[2]2.4 wsLookup'!$O$2:$O$96,"Introuvable")</f>
        <v>0.61</v>
      </c>
      <c r="AE143" s="90">
        <f t="shared" si="11"/>
        <v>0.36374827977814195</v>
      </c>
      <c r="AF143" s="206">
        <f>_xlfn.XLOOKUP(E143&amp;F143&amp;G143&amp;H143&amp;I143&amp;J143&amp;K143&amp;L143&amp;M143&amp;N143&amp;O143&amp;P143,'[2]2.4 wsLookup'!$M$2:$M$96,'[2]2.4 wsLookup'!$Q$2:$Q$96,"Introuvable")</f>
        <v>0.76086371289166055</v>
      </c>
      <c r="AG143" s="91">
        <f>_xlfn.XLOOKUP(E143&amp;F143&amp;G143&amp;H143&amp;I143&amp;J143&amp;K143&amp;L143&amp;M143&amp;N143&amp;O143&amp;P143,'[2]2.4 wsLookup'!$M$2:$M$96,'[2]2.4 wsLookup'!$P$2:$P$96,"Introuvable")</f>
        <v>6.7000000000000004E-2</v>
      </c>
      <c r="AH143" s="91">
        <f>_xlfn.XLOOKUP(E143&amp;F143&amp;G143&amp;H143&amp;I143&amp;J143&amp;K143&amp;L143&amp;M143&amp;N143&amp;O143&amp;P143,'[2]2.4 wsLookup'!$M$2:$M$96,'[2]2.4 wsLookup'!$R$2:$R$96,"Introuvable")</f>
        <v>6.8499999999999991E-2</v>
      </c>
      <c r="AI143" s="193">
        <f>_xlfn.XLOOKUP(E143&amp;F143&amp;G143&amp;H143&amp;I143&amp;J143&amp;K143&amp;L143&amp;M143&amp;N143&amp;O143&amp;P143,'[2]2.4 wsLookup'!$M$2:$M$96,'[2]2.4 wsLookup'!$S$2:$S$96,"Introuvable")</f>
        <v>20000</v>
      </c>
      <c r="AK143" t="str">
        <f t="shared" si="10"/>
        <v>hors localité|-|-|-|-|Route Principale|Circulation mixte|non|-|-|Piste cyclable|-</v>
      </c>
      <c r="AO143" t="str">
        <f t="shared" si="12"/>
        <v>en localité|non|3|non|non|sûr|acceptable|non|non|oui|non|oui|élevé</v>
      </c>
    </row>
    <row r="144" spans="1:41" ht="39" customHeight="1">
      <c r="A144" s="1"/>
      <c r="B144" s="1"/>
      <c r="C144" s="188" t="s">
        <v>1856</v>
      </c>
      <c r="D144" s="224" t="s">
        <v>1678</v>
      </c>
      <c r="E144" s="225" t="s">
        <v>1705</v>
      </c>
      <c r="F144" s="225" t="s">
        <v>256</v>
      </c>
      <c r="G144" s="225" t="s">
        <v>256</v>
      </c>
      <c r="H144" s="225" t="s">
        <v>256</v>
      </c>
      <c r="I144" s="225" t="s">
        <v>256</v>
      </c>
      <c r="J144" s="320" t="s">
        <v>1776</v>
      </c>
      <c r="K144" s="224" t="s">
        <v>1777</v>
      </c>
      <c r="L144" s="224" t="s">
        <v>1673</v>
      </c>
      <c r="M144" s="224" t="s">
        <v>256</v>
      </c>
      <c r="N144" s="224" t="s">
        <v>256</v>
      </c>
      <c r="O144" s="320" t="s">
        <v>1799</v>
      </c>
      <c r="P144" s="226" t="s">
        <v>256</v>
      </c>
      <c r="Q144" s="374">
        <v>5965</v>
      </c>
      <c r="R144" s="323" t="s">
        <v>1673</v>
      </c>
      <c r="S144" s="324" t="str">
        <f t="shared" si="6"/>
        <v>sûr</v>
      </c>
      <c r="T144" s="325" t="str">
        <f t="shared" si="7"/>
        <v>fluide</v>
      </c>
      <c r="U144" s="228" t="s">
        <v>1673</v>
      </c>
      <c r="V144" s="228" t="s">
        <v>1673</v>
      </c>
      <c r="W144" s="228" t="s">
        <v>1673</v>
      </c>
      <c r="X144" s="229" t="s">
        <v>1673</v>
      </c>
      <c r="Y144" s="288" t="str">
        <f t="shared" si="8"/>
        <v>non</v>
      </c>
      <c r="Z144" s="328" t="str">
        <f t="shared" si="9"/>
        <v>faible</v>
      </c>
      <c r="AA144" s="9"/>
      <c r="AB144" s="1"/>
      <c r="AC144" s="190">
        <f>_xlfn.XLOOKUP(E144&amp;F144&amp;G144&amp;H144&amp;I144&amp;J144&amp;K144&amp;L144&amp;M144&amp;N144&amp;O144&amp;P144,'[2]2.4 wsLookup'!$M$2:$M$96,'[2]2.4 wsLookup'!$N$2:$N$96,"Introuvable")</f>
        <v>1.8100000000000002E-3</v>
      </c>
      <c r="AD144" s="190">
        <f>_xlfn.XLOOKUP(E144&amp;F144&amp;G144&amp;H144&amp;I144&amp;J144&amp;K144&amp;L144&amp;M144&amp;N144&amp;O144&amp;P144,'[2]2.4 wsLookup'!$M$2:$M$96,'[2]2.4 wsLookup'!$O$2:$O$96,"Introuvable")</f>
        <v>0.61</v>
      </c>
      <c r="AE144" s="90">
        <f t="shared" si="11"/>
        <v>0.36374827977814195</v>
      </c>
      <c r="AF144" s="206">
        <f>_xlfn.XLOOKUP(E144&amp;F144&amp;G144&amp;H144&amp;I144&amp;J144&amp;K144&amp;L144&amp;M144&amp;N144&amp;O144&amp;P144,'[2]2.4 wsLookup'!$M$2:$M$96,'[2]2.4 wsLookup'!$Q$2:$Q$96,"Introuvable")</f>
        <v>0.76086371289166055</v>
      </c>
      <c r="AG144" s="91">
        <f>_xlfn.XLOOKUP(E144&amp;F144&amp;G144&amp;H144&amp;I144&amp;J144&amp;K144&amp;L144&amp;M144&amp;N144&amp;O144&amp;P144,'[2]2.4 wsLookup'!$M$2:$M$96,'[2]2.4 wsLookup'!$P$2:$P$96,"Introuvable")</f>
        <v>6.7000000000000004E-2</v>
      </c>
      <c r="AH144" s="91">
        <f>_xlfn.XLOOKUP(E144&amp;F144&amp;G144&amp;H144&amp;I144&amp;J144&amp;K144&amp;L144&amp;M144&amp;N144&amp;O144&amp;P144,'[2]2.4 wsLookup'!$M$2:$M$96,'[2]2.4 wsLookup'!$R$2:$R$96,"Introuvable")</f>
        <v>6.8499999999999991E-2</v>
      </c>
      <c r="AI144" s="193">
        <f>_xlfn.XLOOKUP(E144&amp;F144&amp;G144&amp;H144&amp;I144&amp;J144&amp;K144&amp;L144&amp;M144&amp;N144&amp;O144&amp;P144,'[2]2.4 wsLookup'!$M$2:$M$96,'[2]2.4 wsLookup'!$S$2:$S$96,"Introuvable")</f>
        <v>20000</v>
      </c>
      <c r="AK144" t="str">
        <f t="shared" si="10"/>
        <v>hors localité|-|-|-|-|Route Principale|Circulation mixte|non|-|-|Piste cyclable|-</v>
      </c>
      <c r="AO144" t="str">
        <f t="shared" si="12"/>
        <v>en localité|non|3|non|non|sûr|instable|non|non|non|non|non|élevé</v>
      </c>
    </row>
    <row r="145" spans="1:41" ht="39" customHeight="1">
      <c r="A145" s="1"/>
      <c r="B145" s="1"/>
      <c r="C145" s="188" t="s">
        <v>1857</v>
      </c>
      <c r="D145" s="224" t="s">
        <v>1678</v>
      </c>
      <c r="E145" s="225" t="s">
        <v>1705</v>
      </c>
      <c r="F145" s="225" t="s">
        <v>256</v>
      </c>
      <c r="G145" s="225" t="s">
        <v>256</v>
      </c>
      <c r="H145" s="225" t="s">
        <v>256</v>
      </c>
      <c r="I145" s="225" t="s">
        <v>256</v>
      </c>
      <c r="J145" s="320" t="s">
        <v>1776</v>
      </c>
      <c r="K145" s="224" t="s">
        <v>1777</v>
      </c>
      <c r="L145" s="224" t="s">
        <v>1673</v>
      </c>
      <c r="M145" s="224" t="s">
        <v>256</v>
      </c>
      <c r="N145" s="224" t="s">
        <v>256</v>
      </c>
      <c r="O145" s="320" t="s">
        <v>1778</v>
      </c>
      <c r="P145" s="226" t="s">
        <v>256</v>
      </c>
      <c r="Q145" s="374">
        <v>6389</v>
      </c>
      <c r="R145" s="323" t="s">
        <v>1673</v>
      </c>
      <c r="S145" s="324" t="str">
        <f t="shared" ref="S145:S208" si="13">IFERROR(IF(AND(AE145&gt;AF145,AG145&gt;AH145),"critique",
 IF(AND(AE145&lt;=AF145,AG145&gt;AH145),"acceptable",
 IF(AND(AE145&gt;AF145,AG145&lt;=AH145),"acceptable",
 IF(AND(AE145&lt;=AF145,AG145&lt;=AH145),"sûr",
 "vérifier la saisie")))),"")</f>
        <v>sûr</v>
      </c>
      <c r="T145" s="325" t="str">
        <f t="shared" ref="T145:T208" si="14">IFERROR(IF((Q145&gt;1.25*AI145),"instable",
IF(AND(Q145&lt;=1.25*AI145,Q145&gt;0.75*AI145),"acceptable",
IF((Q145&lt;=AI145),"fluide",
"vérifier la saisie"))),"")</f>
        <v>fluide</v>
      </c>
      <c r="U145" s="228" t="s">
        <v>1673</v>
      </c>
      <c r="V145" s="228" t="s">
        <v>1673</v>
      </c>
      <c r="W145" s="228" t="s">
        <v>1673</v>
      </c>
      <c r="X145" s="229" t="s">
        <v>1673</v>
      </c>
      <c r="Y145" s="288" t="str">
        <f t="shared" ref="Y145:Y208" si="15">IF(OR(U145="oui", V145="oui", W145="oui", X145="oui"), "oui", "non")</f>
        <v>non</v>
      </c>
      <c r="Z145" s="328" t="str">
        <f t="shared" ref="Z145:Z208" si="16">IF(OR(S145="critique",T145="instable",Y145="oui"),"élevé",
IF(OR(AND(Y145="non",S145="acceptable",T145="acceptable"),
          AND(Y145="non",S145="acceptable",T145="fluide"),
          AND(Y145="non",S145="sûr",T145="acceptable")),"moyen",
IF(AND(Y145="non",S145="sûr",T145="fluide"),"faible","")))</f>
        <v>faible</v>
      </c>
      <c r="AA145" s="9"/>
      <c r="AB145" s="1"/>
      <c r="AC145" s="190">
        <f>_xlfn.XLOOKUP(E145&amp;F145&amp;G145&amp;H145&amp;I145&amp;J145&amp;K145&amp;L145&amp;M145&amp;N145&amp;O145&amp;P145,'[2]2.4 wsLookup'!$M$2:$M$96,'[2]2.4 wsLookup'!$N$2:$N$96,"Introuvable")</f>
        <v>1.8100000000000002E-3</v>
      </c>
      <c r="AD145" s="190">
        <f>_xlfn.XLOOKUP(E145&amp;F145&amp;G145&amp;H145&amp;I145&amp;J145&amp;K145&amp;L145&amp;M145&amp;N145&amp;O145&amp;P145,'[2]2.4 wsLookup'!$M$2:$M$96,'[2]2.4 wsLookup'!$O$2:$O$96,"Introuvable")</f>
        <v>0.61</v>
      </c>
      <c r="AE145" s="90">
        <f t="shared" si="11"/>
        <v>0.37930855382362261</v>
      </c>
      <c r="AF145" s="206">
        <f>_xlfn.XLOOKUP(E145&amp;F145&amp;G145&amp;H145&amp;I145&amp;J145&amp;K145&amp;L145&amp;M145&amp;N145&amp;O145&amp;P145,'[2]2.4 wsLookup'!$M$2:$M$96,'[2]2.4 wsLookup'!$Q$2:$Q$96,"Introuvable")</f>
        <v>0.76086371289166055</v>
      </c>
      <c r="AG145" s="91">
        <f>_xlfn.XLOOKUP(E145&amp;F145&amp;G145&amp;H145&amp;I145&amp;J145&amp;K145&amp;L145&amp;M145&amp;N145&amp;O145&amp;P145,'[2]2.4 wsLookup'!$M$2:$M$96,'[2]2.4 wsLookup'!$P$2:$P$96,"Introuvable")</f>
        <v>6.7000000000000004E-2</v>
      </c>
      <c r="AH145" s="91">
        <f>_xlfn.XLOOKUP(E145&amp;F145&amp;G145&amp;H145&amp;I145&amp;J145&amp;K145&amp;L145&amp;M145&amp;N145&amp;O145&amp;P145,'[2]2.4 wsLookup'!$M$2:$M$96,'[2]2.4 wsLookup'!$R$2:$R$96,"Introuvable")</f>
        <v>6.8499999999999991E-2</v>
      </c>
      <c r="AI145" s="193">
        <f>_xlfn.XLOOKUP(E145&amp;F145&amp;G145&amp;H145&amp;I145&amp;J145&amp;K145&amp;L145&amp;M145&amp;N145&amp;O145&amp;P145,'[2]2.4 wsLookup'!$M$2:$M$96,'[2]2.4 wsLookup'!$S$2:$S$96,"Introuvable")</f>
        <v>20000</v>
      </c>
      <c r="AK145" t="str">
        <f t="shared" ref="AK145:AK208" si="17">E145 &amp; "|" &amp; F145 &amp; "|" &amp; G145 &amp; "|" &amp; H145 &amp; "|" &amp; I145 &amp; "|" &amp; J145 &amp; "|" &amp; K145 &amp; "|" &amp; L145 &amp; "|" &amp; M145 &amp; "|" &amp; N145 &amp; "|" &amp; O145 &amp; "|" &amp; P145</f>
        <v>hors localité|-|-|-|-|Route Principale|Circulation mixte|non|-|-|Sans|-</v>
      </c>
      <c r="AO145" t="str">
        <f t="shared" si="12"/>
        <v>en localité|non|&gt;3|oui|non|sûr|fluide|non|non|non|non|non|faible</v>
      </c>
    </row>
    <row r="146" spans="1:41" ht="39" customHeight="1">
      <c r="A146" s="1"/>
      <c r="B146" s="1"/>
      <c r="C146" s="188" t="s">
        <v>1858</v>
      </c>
      <c r="D146" s="224" t="s">
        <v>1678</v>
      </c>
      <c r="E146" s="225" t="s">
        <v>1705</v>
      </c>
      <c r="F146" s="225" t="s">
        <v>256</v>
      </c>
      <c r="G146" s="225" t="s">
        <v>256</v>
      </c>
      <c r="H146" s="225" t="s">
        <v>256</v>
      </c>
      <c r="I146" s="225" t="s">
        <v>256</v>
      </c>
      <c r="J146" s="320" t="s">
        <v>1776</v>
      </c>
      <c r="K146" s="224" t="s">
        <v>1777</v>
      </c>
      <c r="L146" s="224" t="s">
        <v>1673</v>
      </c>
      <c r="M146" s="224" t="s">
        <v>256</v>
      </c>
      <c r="N146" s="224" t="s">
        <v>256</v>
      </c>
      <c r="O146" s="320" t="s">
        <v>1799</v>
      </c>
      <c r="P146" s="226" t="s">
        <v>256</v>
      </c>
      <c r="Q146" s="374">
        <v>5965</v>
      </c>
      <c r="R146" s="323" t="s">
        <v>1673</v>
      </c>
      <c r="S146" s="324" t="str">
        <f t="shared" si="13"/>
        <v>sûr</v>
      </c>
      <c r="T146" s="325" t="str">
        <f t="shared" si="14"/>
        <v>fluide</v>
      </c>
      <c r="U146" s="228" t="s">
        <v>1673</v>
      </c>
      <c r="V146" s="228" t="s">
        <v>1673</v>
      </c>
      <c r="W146" s="228" t="s">
        <v>1674</v>
      </c>
      <c r="X146" s="229" t="s">
        <v>1673</v>
      </c>
      <c r="Y146" s="288" t="str">
        <f t="shared" si="15"/>
        <v>oui</v>
      </c>
      <c r="Z146" s="328" t="str">
        <f t="shared" si="16"/>
        <v>élevé</v>
      </c>
      <c r="AA146" s="9"/>
      <c r="AB146" s="1"/>
      <c r="AC146" s="190">
        <f>_xlfn.XLOOKUP(E146&amp;F146&amp;G146&amp;H146&amp;I146&amp;J146&amp;K146&amp;L146&amp;M146&amp;N146&amp;O146&amp;P146,'[2]2.4 wsLookup'!$M$2:$M$96,'[2]2.4 wsLookup'!$N$2:$N$96,"Introuvable")</f>
        <v>1.8100000000000002E-3</v>
      </c>
      <c r="AD146" s="190">
        <f>_xlfn.XLOOKUP(E146&amp;F146&amp;G146&amp;H146&amp;I146&amp;J146&amp;K146&amp;L146&amp;M146&amp;N146&amp;O146&amp;P146,'[2]2.4 wsLookup'!$M$2:$M$96,'[2]2.4 wsLookup'!$O$2:$O$96,"Introuvable")</f>
        <v>0.61</v>
      </c>
      <c r="AE146" s="90">
        <f t="shared" ref="AE146:AE209" si="18">AC146*Q146^AD146</f>
        <v>0.36374827977814195</v>
      </c>
      <c r="AF146" s="206">
        <f>_xlfn.XLOOKUP(E146&amp;F146&amp;G146&amp;H146&amp;I146&amp;J146&amp;K146&amp;L146&amp;M146&amp;N146&amp;O146&amp;P146,'[2]2.4 wsLookup'!$M$2:$M$96,'[2]2.4 wsLookup'!$Q$2:$Q$96,"Introuvable")</f>
        <v>0.76086371289166055</v>
      </c>
      <c r="AG146" s="91">
        <f>_xlfn.XLOOKUP(E146&amp;F146&amp;G146&amp;H146&amp;I146&amp;J146&amp;K146&amp;L146&amp;M146&amp;N146&amp;O146&amp;P146,'[2]2.4 wsLookup'!$M$2:$M$96,'[2]2.4 wsLookup'!$P$2:$P$96,"Introuvable")</f>
        <v>6.7000000000000004E-2</v>
      </c>
      <c r="AH146" s="91">
        <f>_xlfn.XLOOKUP(E146&amp;F146&amp;G146&amp;H146&amp;I146&amp;J146&amp;K146&amp;L146&amp;M146&amp;N146&amp;O146&amp;P146,'[2]2.4 wsLookup'!$M$2:$M$96,'[2]2.4 wsLookup'!$R$2:$R$96,"Introuvable")</f>
        <v>6.8499999999999991E-2</v>
      </c>
      <c r="AI146" s="193">
        <f>_xlfn.XLOOKUP(E146&amp;F146&amp;G146&amp;H146&amp;I146&amp;J146&amp;K146&amp;L146&amp;M146&amp;N146&amp;O146&amp;P146,'[2]2.4 wsLookup'!$M$2:$M$96,'[2]2.4 wsLookup'!$S$2:$S$96,"Introuvable")</f>
        <v>20000</v>
      </c>
      <c r="AK146" t="str">
        <f t="shared" si="17"/>
        <v>hors localité|-|-|-|-|Route Principale|Circulation mixte|non|-|-|Piste cyclable|-</v>
      </c>
      <c r="AO146" t="str">
        <f t="shared" si="12"/>
        <v>en localité|oui|&gt;3|-|non|sûr|fluide|non|non|non|oui|oui|élevé</v>
      </c>
    </row>
    <row r="147" spans="1:41" ht="39" customHeight="1">
      <c r="A147" s="1"/>
      <c r="B147" s="1"/>
      <c r="C147" s="188" t="s">
        <v>1859</v>
      </c>
      <c r="D147" s="224" t="s">
        <v>1678</v>
      </c>
      <c r="E147" s="225" t="s">
        <v>1705</v>
      </c>
      <c r="F147" s="225" t="s">
        <v>256</v>
      </c>
      <c r="G147" s="225" t="s">
        <v>256</v>
      </c>
      <c r="H147" s="225" t="s">
        <v>256</v>
      </c>
      <c r="I147" s="225" t="s">
        <v>256</v>
      </c>
      <c r="J147" s="320" t="s">
        <v>1776</v>
      </c>
      <c r="K147" s="224" t="s">
        <v>1777</v>
      </c>
      <c r="L147" s="224" t="s">
        <v>1673</v>
      </c>
      <c r="M147" s="224" t="s">
        <v>256</v>
      </c>
      <c r="N147" s="224" t="s">
        <v>256</v>
      </c>
      <c r="O147" s="320" t="s">
        <v>1778</v>
      </c>
      <c r="P147" s="226" t="s">
        <v>256</v>
      </c>
      <c r="Q147" s="374">
        <v>7184</v>
      </c>
      <c r="R147" s="323" t="s">
        <v>1673</v>
      </c>
      <c r="S147" s="324" t="str">
        <f t="shared" si="13"/>
        <v>sûr</v>
      </c>
      <c r="T147" s="325" t="str">
        <f t="shared" si="14"/>
        <v>fluide</v>
      </c>
      <c r="U147" s="228" t="s">
        <v>1673</v>
      </c>
      <c r="V147" s="228" t="s">
        <v>1673</v>
      </c>
      <c r="W147" s="228" t="s">
        <v>1673</v>
      </c>
      <c r="X147" s="229" t="s">
        <v>1673</v>
      </c>
      <c r="Y147" s="288" t="str">
        <f t="shared" si="15"/>
        <v>non</v>
      </c>
      <c r="Z147" s="328" t="str">
        <f t="shared" si="16"/>
        <v>faible</v>
      </c>
      <c r="AA147" s="9"/>
      <c r="AB147" s="1"/>
      <c r="AC147" s="190">
        <f>_xlfn.XLOOKUP(E147&amp;F147&amp;G147&amp;H147&amp;I147&amp;J147&amp;K147&amp;L147&amp;M147&amp;N147&amp;O147&amp;P147,'[2]2.4 wsLookup'!$M$2:$M$96,'[2]2.4 wsLookup'!$N$2:$N$96,"Introuvable")</f>
        <v>1.8100000000000002E-3</v>
      </c>
      <c r="AD147" s="190">
        <f>_xlfn.XLOOKUP(E147&amp;F147&amp;G147&amp;H147&amp;I147&amp;J147&amp;K147&amp;L147&amp;M147&amp;N147&amp;O147&amp;P147,'[2]2.4 wsLookup'!$M$2:$M$96,'[2]2.4 wsLookup'!$O$2:$O$96,"Introuvable")</f>
        <v>0.61</v>
      </c>
      <c r="AE147" s="90">
        <f t="shared" si="18"/>
        <v>0.40743846998028421</v>
      </c>
      <c r="AF147" s="206">
        <f>_xlfn.XLOOKUP(E147&amp;F147&amp;G147&amp;H147&amp;I147&amp;J147&amp;K147&amp;L147&amp;M147&amp;N147&amp;O147&amp;P147,'[2]2.4 wsLookup'!$M$2:$M$96,'[2]2.4 wsLookup'!$Q$2:$Q$96,"Introuvable")</f>
        <v>0.76086371289166055</v>
      </c>
      <c r="AG147" s="91">
        <f>_xlfn.XLOOKUP(E147&amp;F147&amp;G147&amp;H147&amp;I147&amp;J147&amp;K147&amp;L147&amp;M147&amp;N147&amp;O147&amp;P147,'[2]2.4 wsLookup'!$M$2:$M$96,'[2]2.4 wsLookup'!$P$2:$P$96,"Introuvable")</f>
        <v>6.7000000000000004E-2</v>
      </c>
      <c r="AH147" s="91">
        <f>_xlfn.XLOOKUP(E147&amp;F147&amp;G147&amp;H147&amp;I147&amp;J147&amp;K147&amp;L147&amp;M147&amp;N147&amp;O147&amp;P147,'[2]2.4 wsLookup'!$M$2:$M$96,'[2]2.4 wsLookup'!$R$2:$R$96,"Introuvable")</f>
        <v>6.8499999999999991E-2</v>
      </c>
      <c r="AI147" s="193">
        <f>_xlfn.XLOOKUP(E147&amp;F147&amp;G147&amp;H147&amp;I147&amp;J147&amp;K147&amp;L147&amp;M147&amp;N147&amp;O147&amp;P147,'[2]2.4 wsLookup'!$M$2:$M$96,'[2]2.4 wsLookup'!$S$2:$S$96,"Introuvable")</f>
        <v>20000</v>
      </c>
      <c r="AK147" t="str">
        <f t="shared" si="17"/>
        <v>hors localité|-|-|-|-|Route Principale|Circulation mixte|non|-|-|Sans|-</v>
      </c>
      <c r="AO147" t="str">
        <f t="shared" si="12"/>
        <v>en localité|non|&gt;3|non|oui|acceptable|acceptable|non|non|non|non|non|moyen</v>
      </c>
    </row>
    <row r="148" spans="1:41" ht="39" customHeight="1">
      <c r="A148" s="1"/>
      <c r="B148" s="1"/>
      <c r="C148" s="188" t="s">
        <v>1860</v>
      </c>
      <c r="D148" s="224" t="s">
        <v>1678</v>
      </c>
      <c r="E148" s="225" t="s">
        <v>1705</v>
      </c>
      <c r="F148" s="225" t="s">
        <v>256</v>
      </c>
      <c r="G148" s="225" t="s">
        <v>256</v>
      </c>
      <c r="H148" s="225" t="s">
        <v>256</v>
      </c>
      <c r="I148" s="225" t="s">
        <v>256</v>
      </c>
      <c r="J148" s="320" t="s">
        <v>1776</v>
      </c>
      <c r="K148" s="224" t="s">
        <v>1777</v>
      </c>
      <c r="L148" s="224" t="s">
        <v>1673</v>
      </c>
      <c r="M148" s="224" t="s">
        <v>256</v>
      </c>
      <c r="N148" s="224" t="s">
        <v>256</v>
      </c>
      <c r="O148" s="320" t="s">
        <v>1778</v>
      </c>
      <c r="P148" s="226" t="s">
        <v>256</v>
      </c>
      <c r="Q148" s="374">
        <v>7184</v>
      </c>
      <c r="R148" s="323" t="s">
        <v>1673</v>
      </c>
      <c r="S148" s="324" t="str">
        <f t="shared" si="13"/>
        <v>sûr</v>
      </c>
      <c r="T148" s="325" t="str">
        <f t="shared" si="14"/>
        <v>fluide</v>
      </c>
      <c r="U148" s="228" t="s">
        <v>1673</v>
      </c>
      <c r="V148" s="228" t="s">
        <v>1673</v>
      </c>
      <c r="W148" s="228" t="s">
        <v>1673</v>
      </c>
      <c r="X148" s="229" t="s">
        <v>1673</v>
      </c>
      <c r="Y148" s="288" t="str">
        <f t="shared" si="15"/>
        <v>non</v>
      </c>
      <c r="Z148" s="328" t="str">
        <f t="shared" si="16"/>
        <v>faible</v>
      </c>
      <c r="AA148" s="9"/>
      <c r="AB148" s="1"/>
      <c r="AC148" s="190">
        <f>_xlfn.XLOOKUP(E148&amp;F148&amp;G148&amp;H148&amp;I148&amp;J148&amp;K148&amp;L148&amp;M148&amp;N148&amp;O148&amp;P148,'[2]2.4 wsLookup'!$M$2:$M$96,'[2]2.4 wsLookup'!$N$2:$N$96,"Introuvable")</f>
        <v>1.8100000000000002E-3</v>
      </c>
      <c r="AD148" s="190">
        <f>_xlfn.XLOOKUP(E148&amp;F148&amp;G148&amp;H148&amp;I148&amp;J148&amp;K148&amp;L148&amp;M148&amp;N148&amp;O148&amp;P148,'[2]2.4 wsLookup'!$M$2:$M$96,'[2]2.4 wsLookup'!$O$2:$O$96,"Introuvable")</f>
        <v>0.61</v>
      </c>
      <c r="AE148" s="90">
        <f t="shared" si="18"/>
        <v>0.40743846998028421</v>
      </c>
      <c r="AF148" s="206">
        <f>_xlfn.XLOOKUP(E148&amp;F148&amp;G148&amp;H148&amp;I148&amp;J148&amp;K148&amp;L148&amp;M148&amp;N148&amp;O148&amp;P148,'[2]2.4 wsLookup'!$M$2:$M$96,'[2]2.4 wsLookup'!$Q$2:$Q$96,"Introuvable")</f>
        <v>0.76086371289166055</v>
      </c>
      <c r="AG148" s="91">
        <f>_xlfn.XLOOKUP(E148&amp;F148&amp;G148&amp;H148&amp;I148&amp;J148&amp;K148&amp;L148&amp;M148&amp;N148&amp;O148&amp;P148,'[2]2.4 wsLookup'!$M$2:$M$96,'[2]2.4 wsLookup'!$P$2:$P$96,"Introuvable")</f>
        <v>6.7000000000000004E-2</v>
      </c>
      <c r="AH148" s="91">
        <f>_xlfn.XLOOKUP(E148&amp;F148&amp;G148&amp;H148&amp;I148&amp;J148&amp;K148&amp;L148&amp;M148&amp;N148&amp;O148&amp;P148,'[2]2.4 wsLookup'!$M$2:$M$96,'[2]2.4 wsLookup'!$R$2:$R$96,"Introuvable")</f>
        <v>6.8499999999999991E-2</v>
      </c>
      <c r="AI148" s="193">
        <f>_xlfn.XLOOKUP(E148&amp;F148&amp;G148&amp;H148&amp;I148&amp;J148&amp;K148&amp;L148&amp;M148&amp;N148&amp;O148&amp;P148,'[2]2.4 wsLookup'!$M$2:$M$96,'[2]2.4 wsLookup'!$S$2:$S$96,"Introuvable")</f>
        <v>20000</v>
      </c>
      <c r="AK148" t="str">
        <f t="shared" si="17"/>
        <v>hors localité|-|-|-|-|Route Principale|Circulation mixte|non|-|-|Sans|-</v>
      </c>
      <c r="AO148" t="str">
        <f t="shared" si="12"/>
        <v>en localité|non|3|non|non|sûr|fluide|non|non|non|non|non|faible</v>
      </c>
    </row>
    <row r="149" spans="1:41" ht="39" customHeight="1">
      <c r="A149" s="1"/>
      <c r="B149" s="1"/>
      <c r="C149" s="188" t="s">
        <v>1861</v>
      </c>
      <c r="D149" s="224" t="s">
        <v>1678</v>
      </c>
      <c r="E149" s="225" t="s">
        <v>1705</v>
      </c>
      <c r="F149" s="225" t="s">
        <v>256</v>
      </c>
      <c r="G149" s="225" t="s">
        <v>256</v>
      </c>
      <c r="H149" s="225" t="s">
        <v>256</v>
      </c>
      <c r="I149" s="225" t="s">
        <v>256</v>
      </c>
      <c r="J149" s="320" t="s">
        <v>1776</v>
      </c>
      <c r="K149" s="224" t="s">
        <v>1777</v>
      </c>
      <c r="L149" s="224" t="s">
        <v>1673</v>
      </c>
      <c r="M149" s="224" t="s">
        <v>256</v>
      </c>
      <c r="N149" s="224" t="s">
        <v>256</v>
      </c>
      <c r="O149" s="320" t="s">
        <v>1799</v>
      </c>
      <c r="P149" s="226" t="s">
        <v>256</v>
      </c>
      <c r="Q149" s="374">
        <v>5965</v>
      </c>
      <c r="R149" s="323" t="s">
        <v>1673</v>
      </c>
      <c r="S149" s="324" t="str">
        <f t="shared" si="13"/>
        <v>sûr</v>
      </c>
      <c r="T149" s="325" t="str">
        <f t="shared" si="14"/>
        <v>fluide</v>
      </c>
      <c r="U149" s="228" t="s">
        <v>1673</v>
      </c>
      <c r="V149" s="228" t="s">
        <v>1673</v>
      </c>
      <c r="W149" s="228" t="s">
        <v>1673</v>
      </c>
      <c r="X149" s="229" t="s">
        <v>1673</v>
      </c>
      <c r="Y149" s="288" t="str">
        <f t="shared" si="15"/>
        <v>non</v>
      </c>
      <c r="Z149" s="328" t="str">
        <f t="shared" si="16"/>
        <v>faible</v>
      </c>
      <c r="AA149" s="9"/>
      <c r="AB149" s="1"/>
      <c r="AC149" s="190">
        <f>_xlfn.XLOOKUP(E149&amp;F149&amp;G149&amp;H149&amp;I149&amp;J149&amp;K149&amp;L149&amp;M149&amp;N149&amp;O149&amp;P149,'[2]2.4 wsLookup'!$M$2:$M$96,'[2]2.4 wsLookup'!$N$2:$N$96,"Introuvable")</f>
        <v>1.8100000000000002E-3</v>
      </c>
      <c r="AD149" s="190">
        <f>_xlfn.XLOOKUP(E149&amp;F149&amp;G149&amp;H149&amp;I149&amp;J149&amp;K149&amp;L149&amp;M149&amp;N149&amp;O149&amp;P149,'[2]2.4 wsLookup'!$M$2:$M$96,'[2]2.4 wsLookup'!$O$2:$O$96,"Introuvable")</f>
        <v>0.61</v>
      </c>
      <c r="AE149" s="90">
        <f t="shared" si="18"/>
        <v>0.36374827977814195</v>
      </c>
      <c r="AF149" s="206">
        <f>_xlfn.XLOOKUP(E149&amp;F149&amp;G149&amp;H149&amp;I149&amp;J149&amp;K149&amp;L149&amp;M149&amp;N149&amp;O149&amp;P149,'[2]2.4 wsLookup'!$M$2:$M$96,'[2]2.4 wsLookup'!$Q$2:$Q$96,"Introuvable")</f>
        <v>0.76086371289166055</v>
      </c>
      <c r="AG149" s="91">
        <f>_xlfn.XLOOKUP(E149&amp;F149&amp;G149&amp;H149&amp;I149&amp;J149&amp;K149&amp;L149&amp;M149&amp;N149&amp;O149&amp;P149,'[2]2.4 wsLookup'!$M$2:$M$96,'[2]2.4 wsLookup'!$P$2:$P$96,"Introuvable")</f>
        <v>6.7000000000000004E-2</v>
      </c>
      <c r="AH149" s="91">
        <f>_xlfn.XLOOKUP(E149&amp;F149&amp;G149&amp;H149&amp;I149&amp;J149&amp;K149&amp;L149&amp;M149&amp;N149&amp;O149&amp;P149,'[2]2.4 wsLookup'!$M$2:$M$96,'[2]2.4 wsLookup'!$R$2:$R$96,"Introuvable")</f>
        <v>6.8499999999999991E-2</v>
      </c>
      <c r="AI149" s="193">
        <f>_xlfn.XLOOKUP(E149&amp;F149&amp;G149&amp;H149&amp;I149&amp;J149&amp;K149&amp;L149&amp;M149&amp;N149&amp;O149&amp;P149,'[2]2.4 wsLookup'!$M$2:$M$96,'[2]2.4 wsLookup'!$S$2:$S$96,"Introuvable")</f>
        <v>20000</v>
      </c>
      <c r="AK149" t="str">
        <f t="shared" si="17"/>
        <v>hors localité|-|-|-|-|Route Principale|Circulation mixte|non|-|-|Piste cyclable|-</v>
      </c>
      <c r="AO149" t="str">
        <f t="shared" si="12"/>
        <v>en localité|non|3|non|non|sûr|acceptable|non|non|oui|non|oui|élevé</v>
      </c>
    </row>
    <row r="150" spans="1:41" ht="39" customHeight="1">
      <c r="A150" s="1"/>
      <c r="B150" s="1"/>
      <c r="C150" s="188" t="s">
        <v>1862</v>
      </c>
      <c r="D150" s="224" t="s">
        <v>1678</v>
      </c>
      <c r="E150" s="225" t="s">
        <v>1705</v>
      </c>
      <c r="F150" s="225" t="s">
        <v>256</v>
      </c>
      <c r="G150" s="225" t="s">
        <v>256</v>
      </c>
      <c r="H150" s="225" t="s">
        <v>256</v>
      </c>
      <c r="I150" s="225" t="s">
        <v>256</v>
      </c>
      <c r="J150" s="320" t="s">
        <v>1776</v>
      </c>
      <c r="K150" s="224" t="s">
        <v>1777</v>
      </c>
      <c r="L150" s="224" t="s">
        <v>1673</v>
      </c>
      <c r="M150" s="224" t="s">
        <v>256</v>
      </c>
      <c r="N150" s="224" t="s">
        <v>256</v>
      </c>
      <c r="O150" s="320" t="s">
        <v>1799</v>
      </c>
      <c r="P150" s="226" t="s">
        <v>256</v>
      </c>
      <c r="Q150" s="374">
        <v>5965</v>
      </c>
      <c r="R150" s="323" t="s">
        <v>1673</v>
      </c>
      <c r="S150" s="324" t="str">
        <f t="shared" si="13"/>
        <v>sûr</v>
      </c>
      <c r="T150" s="325" t="str">
        <f t="shared" si="14"/>
        <v>fluide</v>
      </c>
      <c r="U150" s="228" t="s">
        <v>1673</v>
      </c>
      <c r="V150" s="228" t="s">
        <v>1673</v>
      </c>
      <c r="W150" s="228" t="s">
        <v>1673</v>
      </c>
      <c r="X150" s="229" t="s">
        <v>1674</v>
      </c>
      <c r="Y150" s="288" t="str">
        <f t="shared" si="15"/>
        <v>oui</v>
      </c>
      <c r="Z150" s="328" t="str">
        <f t="shared" si="16"/>
        <v>élevé</v>
      </c>
      <c r="AA150" s="9"/>
      <c r="AB150" s="1"/>
      <c r="AC150" s="190">
        <f>_xlfn.XLOOKUP(E150&amp;F150&amp;G150&amp;H150&amp;I150&amp;J150&amp;K150&amp;L150&amp;M150&amp;N150&amp;O150&amp;P150,'[2]2.4 wsLookup'!$M$2:$M$96,'[2]2.4 wsLookup'!$N$2:$N$96,"Introuvable")</f>
        <v>1.8100000000000002E-3</v>
      </c>
      <c r="AD150" s="190">
        <f>_xlfn.XLOOKUP(E150&amp;F150&amp;G150&amp;H150&amp;I150&amp;J150&amp;K150&amp;L150&amp;M150&amp;N150&amp;O150&amp;P150,'[2]2.4 wsLookup'!$M$2:$M$96,'[2]2.4 wsLookup'!$O$2:$O$96,"Introuvable")</f>
        <v>0.61</v>
      </c>
      <c r="AE150" s="90">
        <f t="shared" si="18"/>
        <v>0.36374827977814195</v>
      </c>
      <c r="AF150" s="206">
        <f>_xlfn.XLOOKUP(E150&amp;F150&amp;G150&amp;H150&amp;I150&amp;J150&amp;K150&amp;L150&amp;M150&amp;N150&amp;O150&amp;P150,'[2]2.4 wsLookup'!$M$2:$M$96,'[2]2.4 wsLookup'!$Q$2:$Q$96,"Introuvable")</f>
        <v>0.76086371289166055</v>
      </c>
      <c r="AG150" s="91">
        <f>_xlfn.XLOOKUP(E150&amp;F150&amp;G150&amp;H150&amp;I150&amp;J150&amp;K150&amp;L150&amp;M150&amp;N150&amp;O150&amp;P150,'[2]2.4 wsLookup'!$M$2:$M$96,'[2]2.4 wsLookup'!$P$2:$P$96,"Introuvable")</f>
        <v>6.7000000000000004E-2</v>
      </c>
      <c r="AH150" s="91">
        <f>_xlfn.XLOOKUP(E150&amp;F150&amp;G150&amp;H150&amp;I150&amp;J150&amp;K150&amp;L150&amp;M150&amp;N150&amp;O150&amp;P150,'[2]2.4 wsLookup'!$M$2:$M$96,'[2]2.4 wsLookup'!$R$2:$R$96,"Introuvable")</f>
        <v>6.8499999999999991E-2</v>
      </c>
      <c r="AI150" s="193">
        <f>_xlfn.XLOOKUP(E150&amp;F150&amp;G150&amp;H150&amp;I150&amp;J150&amp;K150&amp;L150&amp;M150&amp;N150&amp;O150&amp;P150,'[2]2.4 wsLookup'!$M$2:$M$96,'[2]2.4 wsLookup'!$S$2:$S$96,"Introuvable")</f>
        <v>20000</v>
      </c>
      <c r="AK150" t="str">
        <f t="shared" si="17"/>
        <v>hors localité|-|-|-|-|Route Principale|Circulation mixte|non|-|-|Piste cyclable|-</v>
      </c>
      <c r="AO150" t="str">
        <f t="shared" si="12"/>
        <v>en localité|non|3|non|oui|sûr|fluide|non|non|non|non|non|faible</v>
      </c>
    </row>
    <row r="151" spans="1:41" ht="39" customHeight="1">
      <c r="A151" s="1"/>
      <c r="B151" s="1"/>
      <c r="C151" s="188" t="s">
        <v>1863</v>
      </c>
      <c r="D151" s="224" t="s">
        <v>1678</v>
      </c>
      <c r="E151" s="225" t="s">
        <v>1705</v>
      </c>
      <c r="F151" s="225" t="s">
        <v>256</v>
      </c>
      <c r="G151" s="225" t="s">
        <v>256</v>
      </c>
      <c r="H151" s="225" t="s">
        <v>256</v>
      </c>
      <c r="I151" s="225" t="s">
        <v>256</v>
      </c>
      <c r="J151" s="320" t="s">
        <v>1776</v>
      </c>
      <c r="K151" s="224" t="s">
        <v>1777</v>
      </c>
      <c r="L151" s="224" t="s">
        <v>1673</v>
      </c>
      <c r="M151" s="224" t="s">
        <v>256</v>
      </c>
      <c r="N151" s="224" t="s">
        <v>256</v>
      </c>
      <c r="O151" s="320" t="s">
        <v>1778</v>
      </c>
      <c r="P151" s="226" t="s">
        <v>256</v>
      </c>
      <c r="Q151" s="374">
        <v>7184</v>
      </c>
      <c r="R151" s="323" t="s">
        <v>1673</v>
      </c>
      <c r="S151" s="324" t="str">
        <f t="shared" si="13"/>
        <v>sûr</v>
      </c>
      <c r="T151" s="325" t="str">
        <f t="shared" si="14"/>
        <v>fluide</v>
      </c>
      <c r="U151" s="228" t="s">
        <v>1673</v>
      </c>
      <c r="V151" s="228" t="s">
        <v>1673</v>
      </c>
      <c r="W151" s="228" t="s">
        <v>1673</v>
      </c>
      <c r="X151" s="229" t="s">
        <v>1673</v>
      </c>
      <c r="Y151" s="288" t="str">
        <f t="shared" si="15"/>
        <v>non</v>
      </c>
      <c r="Z151" s="328" t="str">
        <f t="shared" si="16"/>
        <v>faible</v>
      </c>
      <c r="AA151" s="9"/>
      <c r="AB151" s="1"/>
      <c r="AC151" s="190">
        <f>_xlfn.XLOOKUP(E151&amp;F151&amp;G151&amp;H151&amp;I151&amp;J151&amp;K151&amp;L151&amp;M151&amp;N151&amp;O151&amp;P151,'[2]2.4 wsLookup'!$M$2:$M$96,'[2]2.4 wsLookup'!$N$2:$N$96,"Introuvable")</f>
        <v>1.8100000000000002E-3</v>
      </c>
      <c r="AD151" s="190">
        <f>_xlfn.XLOOKUP(E151&amp;F151&amp;G151&amp;H151&amp;I151&amp;J151&amp;K151&amp;L151&amp;M151&amp;N151&amp;O151&amp;P151,'[2]2.4 wsLookup'!$M$2:$M$96,'[2]2.4 wsLookup'!$O$2:$O$96,"Introuvable")</f>
        <v>0.61</v>
      </c>
      <c r="AE151" s="90">
        <f t="shared" si="18"/>
        <v>0.40743846998028421</v>
      </c>
      <c r="AF151" s="206">
        <f>_xlfn.XLOOKUP(E151&amp;F151&amp;G151&amp;H151&amp;I151&amp;J151&amp;K151&amp;L151&amp;M151&amp;N151&amp;O151&amp;P151,'[2]2.4 wsLookup'!$M$2:$M$96,'[2]2.4 wsLookup'!$Q$2:$Q$96,"Introuvable")</f>
        <v>0.76086371289166055</v>
      </c>
      <c r="AG151" s="91">
        <f>_xlfn.XLOOKUP(E151&amp;F151&amp;G151&amp;H151&amp;I151&amp;J151&amp;K151&amp;L151&amp;M151&amp;N151&amp;O151&amp;P151,'[2]2.4 wsLookup'!$M$2:$M$96,'[2]2.4 wsLookup'!$P$2:$P$96,"Introuvable")</f>
        <v>6.7000000000000004E-2</v>
      </c>
      <c r="AH151" s="91">
        <f>_xlfn.XLOOKUP(E151&amp;F151&amp;G151&amp;H151&amp;I151&amp;J151&amp;K151&amp;L151&amp;M151&amp;N151&amp;O151&amp;P151,'[2]2.4 wsLookup'!$M$2:$M$96,'[2]2.4 wsLookup'!$R$2:$R$96,"Introuvable")</f>
        <v>6.8499999999999991E-2</v>
      </c>
      <c r="AI151" s="193">
        <f>_xlfn.XLOOKUP(E151&amp;F151&amp;G151&amp;H151&amp;I151&amp;J151&amp;K151&amp;L151&amp;M151&amp;N151&amp;O151&amp;P151,'[2]2.4 wsLookup'!$M$2:$M$96,'[2]2.4 wsLookup'!$S$2:$S$96,"Introuvable")</f>
        <v>20000</v>
      </c>
      <c r="AK151" t="str">
        <f t="shared" si="17"/>
        <v>hors localité|-|-|-|-|Route Principale|Circulation mixte|non|-|-|Sans|-</v>
      </c>
      <c r="AO151" t="str">
        <f t="shared" si="12"/>
        <v>en localité|non|3|non|non|sûr|fluide|non|non|non|non|non|faible</v>
      </c>
    </row>
    <row r="152" spans="1:41" ht="39" customHeight="1">
      <c r="A152" s="1"/>
      <c r="B152" s="1"/>
      <c r="C152" s="188" t="s">
        <v>1864</v>
      </c>
      <c r="D152" s="224"/>
      <c r="E152" s="225" t="s">
        <v>1865</v>
      </c>
      <c r="F152" s="225" t="s">
        <v>256</v>
      </c>
      <c r="G152" s="225" t="s">
        <v>256</v>
      </c>
      <c r="H152" s="225" t="s">
        <v>256</v>
      </c>
      <c r="I152" s="225" t="s">
        <v>256</v>
      </c>
      <c r="J152" s="320" t="s">
        <v>1866</v>
      </c>
      <c r="K152" s="224" t="s">
        <v>258</v>
      </c>
      <c r="L152" s="224" t="s">
        <v>256</v>
      </c>
      <c r="M152" s="224" t="s">
        <v>256</v>
      </c>
      <c r="N152" s="224" t="s">
        <v>256</v>
      </c>
      <c r="O152" s="320" t="s">
        <v>256</v>
      </c>
      <c r="P152" s="226" t="s">
        <v>256</v>
      </c>
      <c r="Q152" s="374">
        <v>30000</v>
      </c>
      <c r="R152" s="323" t="s">
        <v>1673</v>
      </c>
      <c r="S152" s="324" t="str">
        <f t="shared" si="13"/>
        <v>sûr</v>
      </c>
      <c r="T152" s="325" t="str">
        <f t="shared" si="14"/>
        <v>instable</v>
      </c>
      <c r="U152" s="228" t="s">
        <v>1673</v>
      </c>
      <c r="V152" s="228" t="s">
        <v>1673</v>
      </c>
      <c r="W152" s="228" t="s">
        <v>1673</v>
      </c>
      <c r="X152" s="229" t="s">
        <v>1673</v>
      </c>
      <c r="Y152" s="288" t="str">
        <f t="shared" si="15"/>
        <v>non</v>
      </c>
      <c r="Z152" s="328" t="str">
        <f t="shared" si="16"/>
        <v>élevé</v>
      </c>
      <c r="AA152" s="9"/>
      <c r="AB152" s="1"/>
      <c r="AC152" s="190">
        <f>_xlfn.XLOOKUP(E152&amp;F152&amp;G152&amp;H152&amp;I152&amp;J152&amp;K152&amp;L152&amp;M152&amp;N152&amp;O152&amp;P152,'[2]2.4 wsLookup'!$M$2:$M$96,'[2]2.4 wsLookup'!$N$2:$N$96,"Introuvable")</f>
        <v>5.8200000000000005E-8</v>
      </c>
      <c r="AD152" s="190">
        <f>_xlfn.XLOOKUP(E152&amp;F152&amp;G152&amp;H152&amp;I152&amp;J152&amp;K152&amp;L152&amp;M152&amp;N152&amp;O152&amp;P152,'[2]2.4 wsLookup'!$M$2:$M$96,'[2]2.4 wsLookup'!$O$2:$O$96,"Introuvable")</f>
        <v>1.57</v>
      </c>
      <c r="AE152" s="90">
        <f t="shared" si="18"/>
        <v>0.62230509193425543</v>
      </c>
      <c r="AF152" s="206">
        <f>_xlfn.XLOOKUP(E152&amp;F152&amp;G152&amp;H152&amp;I152&amp;J152&amp;K152&amp;L152&amp;M152&amp;N152&amp;O152&amp;P152,'[2]2.4 wsLookup'!$M$2:$M$96,'[2]2.4 wsLookup'!$Q$2:$Q$96,"Introuvable")</f>
        <v>2.1344951115014643</v>
      </c>
      <c r="AG152" s="91">
        <f>_xlfn.XLOOKUP(E152&amp;F152&amp;G152&amp;H152&amp;I152&amp;J152&amp;K152&amp;L152&amp;M152&amp;N152&amp;O152&amp;P152,'[2]2.4 wsLookup'!$M$2:$M$96,'[2]2.4 wsLookup'!$P$2:$P$96,"Introuvable")</f>
        <v>1.7999999999999999E-2</v>
      </c>
      <c r="AH152" s="91">
        <f>_xlfn.XLOOKUP(E152&amp;F152&amp;G152&amp;H152&amp;I152&amp;J152&amp;K152&amp;L152&amp;M152&amp;N152&amp;O152&amp;P152,'[2]2.4 wsLookup'!$M$2:$M$96,'[2]2.4 wsLookup'!$R$2:$R$96,"Introuvable")</f>
        <v>1.8749999999999999E-2</v>
      </c>
      <c r="AI152" s="193">
        <f>_xlfn.XLOOKUP(E152&amp;F152&amp;G152&amp;H152&amp;I152&amp;J152&amp;K152&amp;L152&amp;M152&amp;N152&amp;O152&amp;P152,'[2]2.4 wsLookup'!$M$2:$M$96,'[2]2.4 wsLookup'!$S$2:$S$96,"Introuvable")</f>
        <v>20000</v>
      </c>
      <c r="AK152" t="str">
        <f t="shared" si="17"/>
        <v>autoroute/route express|-|-|-|-|Autoroute|Tunnel|-|-|-|-|-</v>
      </c>
      <c r="AO152" t="str">
        <f t="shared" si="12"/>
        <v>en localité|non|3|non|non|sûr|instable|non|oui|non|non|oui|élevé</v>
      </c>
    </row>
    <row r="153" spans="1:41" ht="39" customHeight="1">
      <c r="A153" s="1"/>
      <c r="B153" s="1"/>
      <c r="C153" s="188" t="s">
        <v>1867</v>
      </c>
      <c r="D153" s="224"/>
      <c r="E153" s="225" t="s">
        <v>1865</v>
      </c>
      <c r="F153" s="225" t="s">
        <v>256</v>
      </c>
      <c r="G153" s="225" t="s">
        <v>256</v>
      </c>
      <c r="H153" s="225" t="s">
        <v>256</v>
      </c>
      <c r="I153" s="225" t="s">
        <v>256</v>
      </c>
      <c r="J153" s="320" t="s">
        <v>1866</v>
      </c>
      <c r="K153" s="224" t="s">
        <v>1777</v>
      </c>
      <c r="L153" s="224" t="s">
        <v>256</v>
      </c>
      <c r="M153" s="224" t="s">
        <v>256</v>
      </c>
      <c r="N153" s="224" t="s">
        <v>256</v>
      </c>
      <c r="O153" s="320" t="s">
        <v>256</v>
      </c>
      <c r="P153" s="226" t="s">
        <v>1868</v>
      </c>
      <c r="Q153" s="374">
        <v>50000</v>
      </c>
      <c r="R153" s="323" t="s">
        <v>1673</v>
      </c>
      <c r="S153" s="324" t="str">
        <f t="shared" si="13"/>
        <v>sûr</v>
      </c>
      <c r="T153" s="325" t="str">
        <f t="shared" si="14"/>
        <v>fluide</v>
      </c>
      <c r="U153" s="228" t="s">
        <v>1673</v>
      </c>
      <c r="V153" s="228" t="s">
        <v>1673</v>
      </c>
      <c r="W153" s="228" t="s">
        <v>1673</v>
      </c>
      <c r="X153" s="229" t="s">
        <v>1673</v>
      </c>
      <c r="Y153" s="288" t="str">
        <f t="shared" si="15"/>
        <v>non</v>
      </c>
      <c r="Z153" s="328" t="str">
        <f t="shared" si="16"/>
        <v>faible</v>
      </c>
      <c r="AA153" s="9"/>
      <c r="AB153" s="1"/>
      <c r="AC153" s="190">
        <f>_xlfn.XLOOKUP(E153&amp;F153&amp;G153&amp;H153&amp;I153&amp;J153&amp;K153&amp;L153&amp;M153&amp;N153&amp;O153&amp;P153,'[2]2.4 wsLookup'!$M$2:$M$96,'[2]2.4 wsLookup'!$N$2:$N$96,"Introuvable")</f>
        <v>5.8200000000000005E-8</v>
      </c>
      <c r="AD153" s="190">
        <f>_xlfn.XLOOKUP(E153&amp;F153&amp;G153&amp;H153&amp;I153&amp;J153&amp;K153&amp;L153&amp;M153&amp;N153&amp;O153&amp;P153,'[2]2.4 wsLookup'!$M$2:$M$96,'[2]2.4 wsLookup'!$O$2:$O$96,"Introuvable")</f>
        <v>1.57</v>
      </c>
      <c r="AE153" s="90">
        <f t="shared" si="18"/>
        <v>1.3877329220747152</v>
      </c>
      <c r="AF153" s="206">
        <f>_xlfn.XLOOKUP(E153&amp;F153&amp;G153&amp;H153&amp;I153&amp;J153&amp;K153&amp;L153&amp;M153&amp;N153&amp;O153&amp;P153,'[2]2.4 wsLookup'!$M$2:$M$96,'[2]2.4 wsLookup'!$Q$2:$Q$96,"Introuvable")</f>
        <v>2.1344951115014643</v>
      </c>
      <c r="AG153" s="91">
        <f>_xlfn.XLOOKUP(E153&amp;F153&amp;G153&amp;H153&amp;I153&amp;J153&amp;K153&amp;L153&amp;M153&amp;N153&amp;O153&amp;P153,'[2]2.4 wsLookup'!$M$2:$M$96,'[2]2.4 wsLookup'!$P$2:$P$96,"Introuvable")</f>
        <v>1.2E-2</v>
      </c>
      <c r="AH153" s="91">
        <f>_xlfn.XLOOKUP(E153&amp;F153&amp;G153&amp;H153&amp;I153&amp;J153&amp;K153&amp;L153&amp;M153&amp;N153&amp;O153&amp;P153,'[2]2.4 wsLookup'!$M$2:$M$96,'[2]2.4 wsLookup'!$R$2:$R$96,"Introuvable")</f>
        <v>1.8749999999999999E-2</v>
      </c>
      <c r="AI153" s="193">
        <f>_xlfn.XLOOKUP(E153&amp;F153&amp;G153&amp;H153&amp;I153&amp;J153&amp;K153&amp;L153&amp;M153&amp;N153&amp;O153&amp;P153,'[2]2.4 wsLookup'!$M$2:$M$96,'[2]2.4 wsLookup'!$S$2:$S$96,"Introuvable")</f>
        <v>70000</v>
      </c>
      <c r="AK153" t="str">
        <f t="shared" si="17"/>
        <v>autoroute/route express|-|-|-|-|Autoroute|Circulation mixte|-|-|-|-|&gt;2 voies dans chaque sens</v>
      </c>
      <c r="AO153" t="str">
        <f t="shared" si="12"/>
        <v>en localité|non|3|oui|oui|sûr|fluide|non|non|non|non|non|faible</v>
      </c>
    </row>
    <row r="154" spans="1:41" ht="39" customHeight="1">
      <c r="A154" s="1"/>
      <c r="B154" s="1"/>
      <c r="C154" s="188" t="s">
        <v>1869</v>
      </c>
      <c r="D154" s="227"/>
      <c r="E154" s="225"/>
      <c r="F154" s="225" t="s">
        <v>256</v>
      </c>
      <c r="G154" s="225" t="s">
        <v>256</v>
      </c>
      <c r="H154" s="225" t="s">
        <v>256</v>
      </c>
      <c r="I154" s="225" t="s">
        <v>256</v>
      </c>
      <c r="J154" s="320" t="s">
        <v>256</v>
      </c>
      <c r="K154" s="224" t="s">
        <v>256</v>
      </c>
      <c r="L154" s="224" t="s">
        <v>256</v>
      </c>
      <c r="M154" s="224" t="s">
        <v>256</v>
      </c>
      <c r="N154" s="224" t="s">
        <v>256</v>
      </c>
      <c r="O154" s="320" t="s">
        <v>256</v>
      </c>
      <c r="P154" s="226" t="s">
        <v>256</v>
      </c>
      <c r="Q154" s="374"/>
      <c r="R154" s="323" t="s">
        <v>1673</v>
      </c>
      <c r="S154" s="324" t="str">
        <f t="shared" si="13"/>
        <v/>
      </c>
      <c r="T154" s="325" t="str">
        <f t="shared" si="14"/>
        <v/>
      </c>
      <c r="U154" s="228" t="s">
        <v>1673</v>
      </c>
      <c r="V154" s="228" t="s">
        <v>1673</v>
      </c>
      <c r="W154" s="228" t="s">
        <v>1673</v>
      </c>
      <c r="X154" s="229" t="s">
        <v>1673</v>
      </c>
      <c r="Y154" s="288" t="str">
        <f t="shared" si="15"/>
        <v>non</v>
      </c>
      <c r="Z154" s="328" t="str">
        <f t="shared" si="16"/>
        <v/>
      </c>
      <c r="AA154" s="9"/>
      <c r="AB154" s="1"/>
      <c r="AC154" s="190" t="str">
        <f>_xlfn.XLOOKUP(E154&amp;F154&amp;G154&amp;H154&amp;I154&amp;J154&amp;K154&amp;L154&amp;M154&amp;N154&amp;O154&amp;P154,'[2]2.4 wsLookup'!$M$2:$M$96,'[2]2.4 wsLookup'!$N$2:$N$96,"Introuvable")</f>
        <v>Introuvable</v>
      </c>
      <c r="AD154" s="190" t="str">
        <f>_xlfn.XLOOKUP(E154&amp;F154&amp;G154&amp;H154&amp;I154&amp;J154&amp;K154&amp;L154&amp;M154&amp;N154&amp;O154&amp;P154,'[2]2.4 wsLookup'!$M$2:$M$96,'[2]2.4 wsLookup'!$O$2:$O$96,"Introuvable")</f>
        <v>Introuvable</v>
      </c>
      <c r="AE154" s="90" t="e">
        <f t="shared" si="18"/>
        <v>#VALUE!</v>
      </c>
      <c r="AF154" s="206" t="str">
        <f>_xlfn.XLOOKUP(E154&amp;F154&amp;G154&amp;H154&amp;I154&amp;J154&amp;K154&amp;L154&amp;M154&amp;N154&amp;O154&amp;P154,'[2]2.4 wsLookup'!$M$2:$M$96,'[2]2.4 wsLookup'!$Q$2:$Q$96,"Introuvable")</f>
        <v>Introuvable</v>
      </c>
      <c r="AG154" s="91" t="str">
        <f>_xlfn.XLOOKUP(E154&amp;F154&amp;G154&amp;H154&amp;I154&amp;J154&amp;K154&amp;L154&amp;M154&amp;N154&amp;O154&amp;P154,'[2]2.4 wsLookup'!$M$2:$M$96,'[2]2.4 wsLookup'!$P$2:$P$96,"Introuvable")</f>
        <v>Introuvable</v>
      </c>
      <c r="AH154" s="91" t="str">
        <f>_xlfn.XLOOKUP(E154&amp;F154&amp;G154&amp;H154&amp;I154&amp;J154&amp;K154&amp;L154&amp;M154&amp;N154&amp;O154&amp;P154,'[2]2.4 wsLookup'!$M$2:$M$96,'[2]2.4 wsLookup'!$R$2:$R$96,"Introuvable")</f>
        <v>Introuvable</v>
      </c>
      <c r="AI154" s="193" t="str">
        <f>_xlfn.XLOOKUP(E154&amp;F154&amp;G154&amp;H154&amp;I154&amp;J154&amp;K154&amp;L154&amp;M154&amp;N154&amp;O154&amp;P154,'[2]2.4 wsLookup'!$M$2:$M$96,'[2]2.4 wsLookup'!$S$2:$S$96,"Introuvable")</f>
        <v>Introuvable</v>
      </c>
      <c r="AK154" t="str">
        <f t="shared" si="17"/>
        <v>|-|-|-|-|-|-|-|-|-|-|-</v>
      </c>
      <c r="AO154" t="str">
        <f t="shared" si="12"/>
        <v>hors localité|non|3|oui|oui|sûr|fluide|non|non|non|non|non|faible</v>
      </c>
    </row>
    <row r="155" spans="1:41" ht="39" customHeight="1">
      <c r="A155" s="1"/>
      <c r="B155" s="1"/>
      <c r="C155" s="188" t="s">
        <v>1870</v>
      </c>
      <c r="D155" s="227"/>
      <c r="E155" s="225"/>
      <c r="F155" s="225" t="s">
        <v>256</v>
      </c>
      <c r="G155" s="225" t="s">
        <v>256</v>
      </c>
      <c r="H155" s="225" t="s">
        <v>256</v>
      </c>
      <c r="I155" s="225" t="s">
        <v>256</v>
      </c>
      <c r="J155" s="320" t="s">
        <v>256</v>
      </c>
      <c r="K155" s="224" t="s">
        <v>256</v>
      </c>
      <c r="L155" s="224" t="s">
        <v>256</v>
      </c>
      <c r="M155" s="224" t="s">
        <v>256</v>
      </c>
      <c r="N155" s="224" t="s">
        <v>256</v>
      </c>
      <c r="O155" s="320" t="s">
        <v>256</v>
      </c>
      <c r="P155" s="226" t="s">
        <v>256</v>
      </c>
      <c r="Q155" s="374"/>
      <c r="R155" s="323" t="s">
        <v>1673</v>
      </c>
      <c r="S155" s="324" t="str">
        <f t="shared" si="13"/>
        <v/>
      </c>
      <c r="T155" s="325" t="str">
        <f t="shared" si="14"/>
        <v/>
      </c>
      <c r="U155" s="228" t="s">
        <v>1673</v>
      </c>
      <c r="V155" s="228" t="s">
        <v>1673</v>
      </c>
      <c r="W155" s="228" t="s">
        <v>1673</v>
      </c>
      <c r="X155" s="229" t="s">
        <v>1673</v>
      </c>
      <c r="Y155" s="288" t="str">
        <f t="shared" si="15"/>
        <v>non</v>
      </c>
      <c r="Z155" s="328" t="str">
        <f t="shared" si="16"/>
        <v/>
      </c>
      <c r="AA155" s="9"/>
      <c r="AB155" s="1"/>
      <c r="AC155" s="190" t="str">
        <f>_xlfn.XLOOKUP(E155&amp;F155&amp;G155&amp;H155&amp;I155&amp;J155&amp;K155&amp;L155&amp;M155&amp;N155&amp;O155&amp;P155,'[2]2.4 wsLookup'!$M$2:$M$96,'[2]2.4 wsLookup'!$N$2:$N$96,"Introuvable")</f>
        <v>Introuvable</v>
      </c>
      <c r="AD155" s="190" t="str">
        <f>_xlfn.XLOOKUP(E155&amp;F155&amp;G155&amp;H155&amp;I155&amp;J155&amp;K155&amp;L155&amp;M155&amp;N155&amp;O155&amp;P155,'[2]2.4 wsLookup'!$M$2:$M$96,'[2]2.4 wsLookup'!$O$2:$O$96,"Introuvable")</f>
        <v>Introuvable</v>
      </c>
      <c r="AE155" s="90" t="e">
        <f t="shared" si="18"/>
        <v>#VALUE!</v>
      </c>
      <c r="AF155" s="206" t="str">
        <f>_xlfn.XLOOKUP(E155&amp;F155&amp;G155&amp;H155&amp;I155&amp;J155&amp;K155&amp;L155&amp;M155&amp;N155&amp;O155&amp;P155,'[2]2.4 wsLookup'!$M$2:$M$96,'[2]2.4 wsLookup'!$Q$2:$Q$96,"Introuvable")</f>
        <v>Introuvable</v>
      </c>
      <c r="AG155" s="91" t="str">
        <f>_xlfn.XLOOKUP(E155&amp;F155&amp;G155&amp;H155&amp;I155&amp;J155&amp;K155&amp;L155&amp;M155&amp;N155&amp;O155&amp;P155,'[2]2.4 wsLookup'!$M$2:$M$96,'[2]2.4 wsLookup'!$P$2:$P$96,"Introuvable")</f>
        <v>Introuvable</v>
      </c>
      <c r="AH155" s="91" t="str">
        <f>_xlfn.XLOOKUP(E155&amp;F155&amp;G155&amp;H155&amp;I155&amp;J155&amp;K155&amp;L155&amp;M155&amp;N155&amp;O155&amp;P155,'[2]2.4 wsLookup'!$M$2:$M$96,'[2]2.4 wsLookup'!$R$2:$R$96,"Introuvable")</f>
        <v>Introuvable</v>
      </c>
      <c r="AI155" s="193" t="str">
        <f>_xlfn.XLOOKUP(E155&amp;F155&amp;G155&amp;H155&amp;I155&amp;J155&amp;K155&amp;L155&amp;M155&amp;N155&amp;O155&amp;P155,'[2]2.4 wsLookup'!$M$2:$M$96,'[2]2.4 wsLookup'!$S$2:$S$96,"Introuvable")</f>
        <v>Introuvable</v>
      </c>
      <c r="AK155" t="str">
        <f t="shared" si="17"/>
        <v>|-|-|-|-|-|-|-|-|-|-|-</v>
      </c>
      <c r="AO155" t="str">
        <f t="shared" si="12"/>
        <v>en localité|non|3|non|non|sûr|acceptable|non|non|oui|non|oui|élevé</v>
      </c>
    </row>
    <row r="156" spans="1:41" ht="39" customHeight="1">
      <c r="A156" s="1"/>
      <c r="B156" s="1"/>
      <c r="C156" s="188" t="s">
        <v>1871</v>
      </c>
      <c r="D156" s="227"/>
      <c r="E156" s="225"/>
      <c r="F156" s="225" t="s">
        <v>256</v>
      </c>
      <c r="G156" s="225" t="s">
        <v>256</v>
      </c>
      <c r="H156" s="225" t="s">
        <v>256</v>
      </c>
      <c r="I156" s="225" t="s">
        <v>256</v>
      </c>
      <c r="J156" s="320" t="s">
        <v>256</v>
      </c>
      <c r="K156" s="224" t="s">
        <v>256</v>
      </c>
      <c r="L156" s="224" t="s">
        <v>256</v>
      </c>
      <c r="M156" s="224" t="s">
        <v>256</v>
      </c>
      <c r="N156" s="224" t="s">
        <v>256</v>
      </c>
      <c r="O156" s="320" t="s">
        <v>256</v>
      </c>
      <c r="P156" s="226" t="s">
        <v>256</v>
      </c>
      <c r="Q156" s="374"/>
      <c r="R156" s="323" t="s">
        <v>1673</v>
      </c>
      <c r="S156" s="324" t="str">
        <f t="shared" si="13"/>
        <v/>
      </c>
      <c r="T156" s="325" t="str">
        <f t="shared" si="14"/>
        <v/>
      </c>
      <c r="U156" s="228" t="s">
        <v>1673</v>
      </c>
      <c r="V156" s="228" t="s">
        <v>1673</v>
      </c>
      <c r="W156" s="228" t="s">
        <v>1673</v>
      </c>
      <c r="X156" s="229" t="s">
        <v>1673</v>
      </c>
      <c r="Y156" s="288" t="str">
        <f t="shared" si="15"/>
        <v>non</v>
      </c>
      <c r="Z156" s="328" t="str">
        <f t="shared" si="16"/>
        <v/>
      </c>
      <c r="AA156" s="9"/>
      <c r="AB156" s="1"/>
      <c r="AC156" s="190" t="str">
        <f>_xlfn.XLOOKUP(E156&amp;F156&amp;G156&amp;H156&amp;I156&amp;J156&amp;K156&amp;L156&amp;M156&amp;N156&amp;O156&amp;P156,'[2]2.4 wsLookup'!$M$2:$M$96,'[2]2.4 wsLookup'!$N$2:$N$96,"Introuvable")</f>
        <v>Introuvable</v>
      </c>
      <c r="AD156" s="190" t="str">
        <f>_xlfn.XLOOKUP(E156&amp;F156&amp;G156&amp;H156&amp;I156&amp;J156&amp;K156&amp;L156&amp;M156&amp;N156&amp;O156&amp;P156,'[2]2.4 wsLookup'!$M$2:$M$96,'[2]2.4 wsLookup'!$O$2:$O$96,"Introuvable")</f>
        <v>Introuvable</v>
      </c>
      <c r="AE156" s="90" t="e">
        <f t="shared" si="18"/>
        <v>#VALUE!</v>
      </c>
      <c r="AF156" s="206" t="str">
        <f>_xlfn.XLOOKUP(E156&amp;F156&amp;G156&amp;H156&amp;I156&amp;J156&amp;K156&amp;L156&amp;M156&amp;N156&amp;O156&amp;P156,'[2]2.4 wsLookup'!$M$2:$M$96,'[2]2.4 wsLookup'!$Q$2:$Q$96,"Introuvable")</f>
        <v>Introuvable</v>
      </c>
      <c r="AG156" s="91" t="str">
        <f>_xlfn.XLOOKUP(E156&amp;F156&amp;G156&amp;H156&amp;I156&amp;J156&amp;K156&amp;L156&amp;M156&amp;N156&amp;O156&amp;P156,'[2]2.4 wsLookup'!$M$2:$M$96,'[2]2.4 wsLookup'!$P$2:$P$96,"Introuvable")</f>
        <v>Introuvable</v>
      </c>
      <c r="AH156" s="91" t="str">
        <f>_xlfn.XLOOKUP(E156&amp;F156&amp;G156&amp;H156&amp;I156&amp;J156&amp;K156&amp;L156&amp;M156&amp;N156&amp;O156&amp;P156,'[2]2.4 wsLookup'!$M$2:$M$96,'[2]2.4 wsLookup'!$R$2:$R$96,"Introuvable")</f>
        <v>Introuvable</v>
      </c>
      <c r="AI156" s="193" t="str">
        <f>_xlfn.XLOOKUP(E156&amp;F156&amp;G156&amp;H156&amp;I156&amp;J156&amp;K156&amp;L156&amp;M156&amp;N156&amp;O156&amp;P156,'[2]2.4 wsLookup'!$M$2:$M$96,'[2]2.4 wsLookup'!$S$2:$S$96,"Introuvable")</f>
        <v>Introuvable</v>
      </c>
      <c r="AK156" t="str">
        <f t="shared" si="17"/>
        <v>|-|-|-|-|-|-|-|-|-|-|-</v>
      </c>
      <c r="AO156" t="str">
        <f t="shared" si="12"/>
        <v>en localité|non|&gt;3|oui|non|sûr|fluide|non|oui|oui|non|oui|élevé</v>
      </c>
    </row>
    <row r="157" spans="1:41" ht="39" customHeight="1">
      <c r="A157" s="1"/>
      <c r="B157" s="1"/>
      <c r="C157" s="188" t="s">
        <v>1872</v>
      </c>
      <c r="D157" s="227"/>
      <c r="E157" s="225"/>
      <c r="F157" s="225" t="s">
        <v>256</v>
      </c>
      <c r="G157" s="225" t="s">
        <v>256</v>
      </c>
      <c r="H157" s="225" t="s">
        <v>256</v>
      </c>
      <c r="I157" s="225" t="s">
        <v>256</v>
      </c>
      <c r="J157" s="320" t="s">
        <v>256</v>
      </c>
      <c r="K157" s="224" t="s">
        <v>256</v>
      </c>
      <c r="L157" s="224" t="s">
        <v>256</v>
      </c>
      <c r="M157" s="224" t="s">
        <v>256</v>
      </c>
      <c r="N157" s="224" t="s">
        <v>256</v>
      </c>
      <c r="O157" s="320" t="s">
        <v>256</v>
      </c>
      <c r="P157" s="226" t="s">
        <v>256</v>
      </c>
      <c r="Q157" s="374"/>
      <c r="R157" s="323" t="s">
        <v>1673</v>
      </c>
      <c r="S157" s="324" t="str">
        <f t="shared" si="13"/>
        <v/>
      </c>
      <c r="T157" s="325" t="str">
        <f t="shared" si="14"/>
        <v/>
      </c>
      <c r="U157" s="228" t="s">
        <v>1673</v>
      </c>
      <c r="V157" s="228" t="s">
        <v>1673</v>
      </c>
      <c r="W157" s="228" t="s">
        <v>1673</v>
      </c>
      <c r="X157" s="229" t="s">
        <v>1673</v>
      </c>
      <c r="Y157" s="288" t="str">
        <f t="shared" si="15"/>
        <v>non</v>
      </c>
      <c r="Z157" s="328" t="str">
        <f t="shared" si="16"/>
        <v/>
      </c>
      <c r="AA157" s="9"/>
      <c r="AB157" s="1"/>
      <c r="AC157" s="190" t="str">
        <f>_xlfn.XLOOKUP(E157&amp;F157&amp;G157&amp;H157&amp;I157&amp;J157&amp;K157&amp;L157&amp;M157&amp;N157&amp;O157&amp;P157,'[2]2.4 wsLookup'!$M$2:$M$96,'[2]2.4 wsLookup'!$N$2:$N$96,"Introuvable")</f>
        <v>Introuvable</v>
      </c>
      <c r="AD157" s="190" t="str">
        <f>_xlfn.XLOOKUP(E157&amp;F157&amp;G157&amp;H157&amp;I157&amp;J157&amp;K157&amp;L157&amp;M157&amp;N157&amp;O157&amp;P157,'[2]2.4 wsLookup'!$M$2:$M$96,'[2]2.4 wsLookup'!$O$2:$O$96,"Introuvable")</f>
        <v>Introuvable</v>
      </c>
      <c r="AE157" s="90" t="e">
        <f t="shared" si="18"/>
        <v>#VALUE!</v>
      </c>
      <c r="AF157" s="206" t="str">
        <f>_xlfn.XLOOKUP(E157&amp;F157&amp;G157&amp;H157&amp;I157&amp;J157&amp;K157&amp;L157&amp;M157&amp;N157&amp;O157&amp;P157,'[2]2.4 wsLookup'!$M$2:$M$96,'[2]2.4 wsLookup'!$Q$2:$Q$96,"Introuvable")</f>
        <v>Introuvable</v>
      </c>
      <c r="AG157" s="91" t="str">
        <f>_xlfn.XLOOKUP(E157&amp;F157&amp;G157&amp;H157&amp;I157&amp;J157&amp;K157&amp;L157&amp;M157&amp;N157&amp;O157&amp;P157,'[2]2.4 wsLookup'!$M$2:$M$96,'[2]2.4 wsLookup'!$P$2:$P$96,"Introuvable")</f>
        <v>Introuvable</v>
      </c>
      <c r="AH157" s="91" t="str">
        <f>_xlfn.XLOOKUP(E157&amp;F157&amp;G157&amp;H157&amp;I157&amp;J157&amp;K157&amp;L157&amp;M157&amp;N157&amp;O157&amp;P157,'[2]2.4 wsLookup'!$M$2:$M$96,'[2]2.4 wsLookup'!$R$2:$R$96,"Introuvable")</f>
        <v>Introuvable</v>
      </c>
      <c r="AI157" s="193" t="str">
        <f>_xlfn.XLOOKUP(E157&amp;F157&amp;G157&amp;H157&amp;I157&amp;J157&amp;K157&amp;L157&amp;M157&amp;N157&amp;O157&amp;P157,'[2]2.4 wsLookup'!$M$2:$M$96,'[2]2.4 wsLookup'!$S$2:$S$96,"Introuvable")</f>
        <v>Introuvable</v>
      </c>
      <c r="AK157" t="str">
        <f t="shared" si="17"/>
        <v>|-|-|-|-|-|-|-|-|-|-|-</v>
      </c>
      <c r="AO157" t="str">
        <f t="shared" si="12"/>
        <v>en localité|non|3|non|non|sûr|fluide|non|non|non|non|non|faible</v>
      </c>
    </row>
    <row r="158" spans="1:41" ht="39" customHeight="1">
      <c r="A158" s="1"/>
      <c r="B158" s="1"/>
      <c r="C158" s="188" t="s">
        <v>1873</v>
      </c>
      <c r="D158" s="227"/>
      <c r="E158" s="225"/>
      <c r="F158" s="225" t="s">
        <v>256</v>
      </c>
      <c r="G158" s="225" t="s">
        <v>256</v>
      </c>
      <c r="H158" s="225" t="s">
        <v>256</v>
      </c>
      <c r="I158" s="225" t="s">
        <v>256</v>
      </c>
      <c r="J158" s="320" t="s">
        <v>256</v>
      </c>
      <c r="K158" s="224" t="s">
        <v>256</v>
      </c>
      <c r="L158" s="224" t="s">
        <v>256</v>
      </c>
      <c r="M158" s="224" t="s">
        <v>256</v>
      </c>
      <c r="N158" s="224" t="s">
        <v>256</v>
      </c>
      <c r="O158" s="320" t="s">
        <v>256</v>
      </c>
      <c r="P158" s="226" t="s">
        <v>256</v>
      </c>
      <c r="Q158" s="374"/>
      <c r="R158" s="323" t="s">
        <v>1673</v>
      </c>
      <c r="S158" s="324" t="str">
        <f t="shared" si="13"/>
        <v/>
      </c>
      <c r="T158" s="325" t="str">
        <f t="shared" si="14"/>
        <v/>
      </c>
      <c r="U158" s="228" t="s">
        <v>1673</v>
      </c>
      <c r="V158" s="228" t="s">
        <v>1673</v>
      </c>
      <c r="W158" s="228" t="s">
        <v>1673</v>
      </c>
      <c r="X158" s="229" t="s">
        <v>1673</v>
      </c>
      <c r="Y158" s="288" t="str">
        <f t="shared" si="15"/>
        <v>non</v>
      </c>
      <c r="Z158" s="328" t="str">
        <f t="shared" si="16"/>
        <v/>
      </c>
      <c r="AA158" s="9"/>
      <c r="AB158" s="1"/>
      <c r="AC158" s="190" t="str">
        <f>_xlfn.XLOOKUP(E158&amp;F158&amp;G158&amp;H158&amp;I158&amp;J158&amp;K158&amp;L158&amp;M158&amp;N158&amp;O158&amp;P158,'[2]2.4 wsLookup'!$M$2:$M$96,'[2]2.4 wsLookup'!$N$2:$N$96,"Introuvable")</f>
        <v>Introuvable</v>
      </c>
      <c r="AD158" s="190" t="str">
        <f>_xlfn.XLOOKUP(E158&amp;F158&amp;G158&amp;H158&amp;I158&amp;J158&amp;K158&amp;L158&amp;M158&amp;N158&amp;O158&amp;P158,'[2]2.4 wsLookup'!$M$2:$M$96,'[2]2.4 wsLookup'!$O$2:$O$96,"Introuvable")</f>
        <v>Introuvable</v>
      </c>
      <c r="AE158" s="90" t="e">
        <f t="shared" si="18"/>
        <v>#VALUE!</v>
      </c>
      <c r="AF158" s="206" t="str">
        <f>_xlfn.XLOOKUP(E158&amp;F158&amp;G158&amp;H158&amp;I158&amp;J158&amp;K158&amp;L158&amp;M158&amp;N158&amp;O158&amp;P158,'[2]2.4 wsLookup'!$M$2:$M$96,'[2]2.4 wsLookup'!$Q$2:$Q$96,"Introuvable")</f>
        <v>Introuvable</v>
      </c>
      <c r="AG158" s="91" t="str">
        <f>_xlfn.XLOOKUP(E158&amp;F158&amp;G158&amp;H158&amp;I158&amp;J158&amp;K158&amp;L158&amp;M158&amp;N158&amp;O158&amp;P158,'[2]2.4 wsLookup'!$M$2:$M$96,'[2]2.4 wsLookup'!$P$2:$P$96,"Introuvable")</f>
        <v>Introuvable</v>
      </c>
      <c r="AH158" s="91" t="str">
        <f>_xlfn.XLOOKUP(E158&amp;F158&amp;G158&amp;H158&amp;I158&amp;J158&amp;K158&amp;L158&amp;M158&amp;N158&amp;O158&amp;P158,'[2]2.4 wsLookup'!$M$2:$M$96,'[2]2.4 wsLookup'!$R$2:$R$96,"Introuvable")</f>
        <v>Introuvable</v>
      </c>
      <c r="AI158" s="193" t="str">
        <f>_xlfn.XLOOKUP(E158&amp;F158&amp;G158&amp;H158&amp;I158&amp;J158&amp;K158&amp;L158&amp;M158&amp;N158&amp;O158&amp;P158,'[2]2.4 wsLookup'!$M$2:$M$96,'[2]2.4 wsLookup'!$S$2:$S$96,"Introuvable")</f>
        <v>Introuvable</v>
      </c>
      <c r="AK158" t="str">
        <f t="shared" si="17"/>
        <v>|-|-|-|-|-|-|-|-|-|-|-</v>
      </c>
      <c r="AO158" t="str">
        <f t="shared" si="12"/>
        <v>en localité|non|3|non|non|sûr|acceptable|non|non|non|non|non|moyen</v>
      </c>
    </row>
    <row r="159" spans="1:41" ht="39" customHeight="1">
      <c r="A159" s="1"/>
      <c r="B159" s="1"/>
      <c r="C159" s="188" t="s">
        <v>1874</v>
      </c>
      <c r="D159" s="227"/>
      <c r="E159" s="225"/>
      <c r="F159" s="225" t="s">
        <v>256</v>
      </c>
      <c r="G159" s="225" t="s">
        <v>256</v>
      </c>
      <c r="H159" s="225" t="s">
        <v>256</v>
      </c>
      <c r="I159" s="225" t="s">
        <v>256</v>
      </c>
      <c r="J159" s="320" t="s">
        <v>256</v>
      </c>
      <c r="K159" s="224" t="s">
        <v>256</v>
      </c>
      <c r="L159" s="224" t="s">
        <v>256</v>
      </c>
      <c r="M159" s="224" t="s">
        <v>256</v>
      </c>
      <c r="N159" s="224" t="s">
        <v>256</v>
      </c>
      <c r="O159" s="320" t="s">
        <v>256</v>
      </c>
      <c r="P159" s="226" t="s">
        <v>256</v>
      </c>
      <c r="Q159" s="374"/>
      <c r="R159" s="323" t="s">
        <v>1673</v>
      </c>
      <c r="S159" s="324" t="str">
        <f t="shared" si="13"/>
        <v/>
      </c>
      <c r="T159" s="325" t="str">
        <f t="shared" si="14"/>
        <v/>
      </c>
      <c r="U159" s="228" t="s">
        <v>1673</v>
      </c>
      <c r="V159" s="228" t="s">
        <v>1673</v>
      </c>
      <c r="W159" s="228" t="s">
        <v>1673</v>
      </c>
      <c r="X159" s="229" t="s">
        <v>1673</v>
      </c>
      <c r="Y159" s="288" t="str">
        <f t="shared" si="15"/>
        <v>non</v>
      </c>
      <c r="Z159" s="328" t="str">
        <f t="shared" si="16"/>
        <v/>
      </c>
      <c r="AA159" s="9"/>
      <c r="AB159" s="1"/>
      <c r="AC159" s="190" t="str">
        <f>_xlfn.XLOOKUP(E159&amp;F159&amp;G159&amp;H159&amp;I159&amp;J159&amp;K159&amp;L159&amp;M159&amp;N159&amp;O159&amp;P159,'[2]2.4 wsLookup'!$M$2:$M$96,'[2]2.4 wsLookup'!$N$2:$N$96,"Introuvable")</f>
        <v>Introuvable</v>
      </c>
      <c r="AD159" s="190" t="str">
        <f>_xlfn.XLOOKUP(E159&amp;F159&amp;G159&amp;H159&amp;I159&amp;J159&amp;K159&amp;L159&amp;M159&amp;N159&amp;O159&amp;P159,'[2]2.4 wsLookup'!$M$2:$M$96,'[2]2.4 wsLookup'!$O$2:$O$96,"Introuvable")</f>
        <v>Introuvable</v>
      </c>
      <c r="AE159" s="90" t="e">
        <f t="shared" si="18"/>
        <v>#VALUE!</v>
      </c>
      <c r="AF159" s="206" t="str">
        <f>_xlfn.XLOOKUP(E159&amp;F159&amp;G159&amp;H159&amp;I159&amp;J159&amp;K159&amp;L159&amp;M159&amp;N159&amp;O159&amp;P159,'[2]2.4 wsLookup'!$M$2:$M$96,'[2]2.4 wsLookup'!$Q$2:$Q$96,"Introuvable")</f>
        <v>Introuvable</v>
      </c>
      <c r="AG159" s="91" t="str">
        <f>_xlfn.XLOOKUP(E159&amp;F159&amp;G159&amp;H159&amp;I159&amp;J159&amp;K159&amp;L159&amp;M159&amp;N159&amp;O159&amp;P159,'[2]2.4 wsLookup'!$M$2:$M$96,'[2]2.4 wsLookup'!$P$2:$P$96,"Introuvable")</f>
        <v>Introuvable</v>
      </c>
      <c r="AH159" s="91" t="str">
        <f>_xlfn.XLOOKUP(E159&amp;F159&amp;G159&amp;H159&amp;I159&amp;J159&amp;K159&amp;L159&amp;M159&amp;N159&amp;O159&amp;P159,'[2]2.4 wsLookup'!$M$2:$M$96,'[2]2.4 wsLookup'!$R$2:$R$96,"Introuvable")</f>
        <v>Introuvable</v>
      </c>
      <c r="AI159" s="193" t="str">
        <f>_xlfn.XLOOKUP(E159&amp;F159&amp;G159&amp;H159&amp;I159&amp;J159&amp;K159&amp;L159&amp;M159&amp;N159&amp;O159&amp;P159,'[2]2.4 wsLookup'!$M$2:$M$96,'[2]2.4 wsLookup'!$S$2:$S$96,"Introuvable")</f>
        <v>Introuvable</v>
      </c>
      <c r="AK159" t="str">
        <f t="shared" si="17"/>
        <v>|-|-|-|-|-|-|-|-|-|-|-</v>
      </c>
      <c r="AO159" t="str">
        <f t="shared" si="12"/>
        <v>en localité|non|3|non|non|sûr|acceptable|non|non|non|oui|oui|élevé</v>
      </c>
    </row>
    <row r="160" spans="1:41" ht="39" customHeight="1">
      <c r="A160" s="1"/>
      <c r="B160" s="1"/>
      <c r="C160" s="188" t="s">
        <v>1875</v>
      </c>
      <c r="D160" s="227"/>
      <c r="E160" s="225"/>
      <c r="F160" s="225" t="s">
        <v>256</v>
      </c>
      <c r="G160" s="225" t="s">
        <v>256</v>
      </c>
      <c r="H160" s="225" t="s">
        <v>256</v>
      </c>
      <c r="I160" s="225" t="s">
        <v>256</v>
      </c>
      <c r="J160" s="320" t="s">
        <v>256</v>
      </c>
      <c r="K160" s="224" t="s">
        <v>256</v>
      </c>
      <c r="L160" s="224" t="s">
        <v>256</v>
      </c>
      <c r="M160" s="224" t="s">
        <v>256</v>
      </c>
      <c r="N160" s="224" t="s">
        <v>256</v>
      </c>
      <c r="O160" s="320" t="s">
        <v>256</v>
      </c>
      <c r="P160" s="226" t="s">
        <v>256</v>
      </c>
      <c r="Q160" s="374"/>
      <c r="R160" s="323" t="s">
        <v>1673</v>
      </c>
      <c r="S160" s="324" t="str">
        <f t="shared" si="13"/>
        <v/>
      </c>
      <c r="T160" s="325" t="str">
        <f t="shared" si="14"/>
        <v/>
      </c>
      <c r="U160" s="228" t="s">
        <v>1673</v>
      </c>
      <c r="V160" s="228" t="s">
        <v>1673</v>
      </c>
      <c r="W160" s="228" t="s">
        <v>1673</v>
      </c>
      <c r="X160" s="229" t="s">
        <v>1673</v>
      </c>
      <c r="Y160" s="288" t="str">
        <f t="shared" si="15"/>
        <v>non</v>
      </c>
      <c r="Z160" s="328" t="str">
        <f t="shared" si="16"/>
        <v/>
      </c>
      <c r="AA160" s="9"/>
      <c r="AB160" s="1"/>
      <c r="AC160" s="190" t="str">
        <f>_xlfn.XLOOKUP(E160&amp;F160&amp;G160&amp;H160&amp;I160&amp;J160&amp;K160&amp;L160&amp;M160&amp;N160&amp;O160&amp;P160,'[2]2.4 wsLookup'!$M$2:$M$96,'[2]2.4 wsLookup'!$N$2:$N$96,"Introuvable")</f>
        <v>Introuvable</v>
      </c>
      <c r="AD160" s="190" t="str">
        <f>_xlfn.XLOOKUP(E160&amp;F160&amp;G160&amp;H160&amp;I160&amp;J160&amp;K160&amp;L160&amp;M160&amp;N160&amp;O160&amp;P160,'[2]2.4 wsLookup'!$M$2:$M$96,'[2]2.4 wsLookup'!$O$2:$O$96,"Introuvable")</f>
        <v>Introuvable</v>
      </c>
      <c r="AE160" s="90" t="e">
        <f t="shared" si="18"/>
        <v>#VALUE!</v>
      </c>
      <c r="AF160" s="206" t="str">
        <f>_xlfn.XLOOKUP(E160&amp;F160&amp;G160&amp;H160&amp;I160&amp;J160&amp;K160&amp;L160&amp;M160&amp;N160&amp;O160&amp;P160,'[2]2.4 wsLookup'!$M$2:$M$96,'[2]2.4 wsLookup'!$Q$2:$Q$96,"Introuvable")</f>
        <v>Introuvable</v>
      </c>
      <c r="AG160" s="91" t="str">
        <f>_xlfn.XLOOKUP(E160&amp;F160&amp;G160&amp;H160&amp;I160&amp;J160&amp;K160&amp;L160&amp;M160&amp;N160&amp;O160&amp;P160,'[2]2.4 wsLookup'!$M$2:$M$96,'[2]2.4 wsLookup'!$P$2:$P$96,"Introuvable")</f>
        <v>Introuvable</v>
      </c>
      <c r="AH160" s="91" t="str">
        <f>_xlfn.XLOOKUP(E160&amp;F160&amp;G160&amp;H160&amp;I160&amp;J160&amp;K160&amp;L160&amp;M160&amp;N160&amp;O160&amp;P160,'[2]2.4 wsLookup'!$M$2:$M$96,'[2]2.4 wsLookup'!$R$2:$R$96,"Introuvable")</f>
        <v>Introuvable</v>
      </c>
      <c r="AI160" s="193" t="str">
        <f>_xlfn.XLOOKUP(E160&amp;F160&amp;G160&amp;H160&amp;I160&amp;J160&amp;K160&amp;L160&amp;M160&amp;N160&amp;O160&amp;P160,'[2]2.4 wsLookup'!$M$2:$M$96,'[2]2.4 wsLookup'!$S$2:$S$96,"Introuvable")</f>
        <v>Introuvable</v>
      </c>
      <c r="AK160" t="str">
        <f t="shared" si="17"/>
        <v>|-|-|-|-|-|-|-|-|-|-|-</v>
      </c>
      <c r="AO160" t="str">
        <f t="shared" si="12"/>
        <v>en localité|non|3|non|oui|sûr|fluide|non|non|non|non|non|faible</v>
      </c>
    </row>
    <row r="161" spans="1:41" ht="39" customHeight="1">
      <c r="A161" s="1"/>
      <c r="B161" s="1"/>
      <c r="C161" s="188" t="s">
        <v>1876</v>
      </c>
      <c r="D161" s="227"/>
      <c r="E161" s="225"/>
      <c r="F161" s="225" t="s">
        <v>256</v>
      </c>
      <c r="G161" s="225" t="s">
        <v>256</v>
      </c>
      <c r="H161" s="225" t="s">
        <v>256</v>
      </c>
      <c r="I161" s="225" t="s">
        <v>256</v>
      </c>
      <c r="J161" s="320" t="s">
        <v>256</v>
      </c>
      <c r="K161" s="224" t="s">
        <v>256</v>
      </c>
      <c r="L161" s="224" t="s">
        <v>256</v>
      </c>
      <c r="M161" s="224" t="s">
        <v>256</v>
      </c>
      <c r="N161" s="224" t="s">
        <v>256</v>
      </c>
      <c r="O161" s="320" t="s">
        <v>256</v>
      </c>
      <c r="P161" s="226" t="s">
        <v>256</v>
      </c>
      <c r="Q161" s="374"/>
      <c r="R161" s="323" t="s">
        <v>1673</v>
      </c>
      <c r="S161" s="324" t="str">
        <f t="shared" si="13"/>
        <v/>
      </c>
      <c r="T161" s="325" t="str">
        <f t="shared" si="14"/>
        <v/>
      </c>
      <c r="U161" s="228" t="s">
        <v>1673</v>
      </c>
      <c r="V161" s="228" t="s">
        <v>1673</v>
      </c>
      <c r="W161" s="228" t="s">
        <v>1673</v>
      </c>
      <c r="X161" s="229" t="s">
        <v>1673</v>
      </c>
      <c r="Y161" s="288" t="str">
        <f t="shared" si="15"/>
        <v>non</v>
      </c>
      <c r="Z161" s="328" t="str">
        <f t="shared" si="16"/>
        <v/>
      </c>
      <c r="AA161" s="9"/>
      <c r="AB161" s="1"/>
      <c r="AC161" s="190" t="str">
        <f>_xlfn.XLOOKUP(E161&amp;F161&amp;G161&amp;H161&amp;I161&amp;J161&amp;K161&amp;L161&amp;M161&amp;N161&amp;O161&amp;P161,'[2]2.4 wsLookup'!$M$2:$M$96,'[2]2.4 wsLookup'!$N$2:$N$96,"Introuvable")</f>
        <v>Introuvable</v>
      </c>
      <c r="AD161" s="190" t="str">
        <f>_xlfn.XLOOKUP(E161&amp;F161&amp;G161&amp;H161&amp;I161&amp;J161&amp;K161&amp;L161&amp;M161&amp;N161&amp;O161&amp;P161,'[2]2.4 wsLookup'!$M$2:$M$96,'[2]2.4 wsLookup'!$O$2:$O$96,"Introuvable")</f>
        <v>Introuvable</v>
      </c>
      <c r="AE161" s="90" t="e">
        <f t="shared" si="18"/>
        <v>#VALUE!</v>
      </c>
      <c r="AF161" s="206" t="str">
        <f>_xlfn.XLOOKUP(E161&amp;F161&amp;G161&amp;H161&amp;I161&amp;J161&amp;K161&amp;L161&amp;M161&amp;N161&amp;O161&amp;P161,'[2]2.4 wsLookup'!$M$2:$M$96,'[2]2.4 wsLookup'!$Q$2:$Q$96,"Introuvable")</f>
        <v>Introuvable</v>
      </c>
      <c r="AG161" s="91" t="str">
        <f>_xlfn.XLOOKUP(E161&amp;F161&amp;G161&amp;H161&amp;I161&amp;J161&amp;K161&amp;L161&amp;M161&amp;N161&amp;O161&amp;P161,'[2]2.4 wsLookup'!$M$2:$M$96,'[2]2.4 wsLookup'!$P$2:$P$96,"Introuvable")</f>
        <v>Introuvable</v>
      </c>
      <c r="AH161" s="91" t="str">
        <f>_xlfn.XLOOKUP(E161&amp;F161&amp;G161&amp;H161&amp;I161&amp;J161&amp;K161&amp;L161&amp;M161&amp;N161&amp;O161&amp;P161,'[2]2.4 wsLookup'!$M$2:$M$96,'[2]2.4 wsLookup'!$R$2:$R$96,"Introuvable")</f>
        <v>Introuvable</v>
      </c>
      <c r="AI161" s="193" t="str">
        <f>_xlfn.XLOOKUP(E161&amp;F161&amp;G161&amp;H161&amp;I161&amp;J161&amp;K161&amp;L161&amp;M161&amp;N161&amp;O161&amp;P161,'[2]2.4 wsLookup'!$M$2:$M$96,'[2]2.4 wsLookup'!$S$2:$S$96,"Introuvable")</f>
        <v>Introuvable</v>
      </c>
      <c r="AK161" t="str">
        <f t="shared" si="17"/>
        <v>|-|-|-|-|-|-|-|-|-|-|-</v>
      </c>
      <c r="AO161" t="str">
        <f t="shared" si="12"/>
        <v>en localité|non|3|non|non|sûr|fluide|non|non|non|non|non|faible</v>
      </c>
    </row>
    <row r="162" spans="1:41" ht="39" customHeight="1">
      <c r="A162" s="1"/>
      <c r="B162" s="1"/>
      <c r="C162" s="188" t="s">
        <v>1877</v>
      </c>
      <c r="D162" s="227"/>
      <c r="E162" s="225"/>
      <c r="F162" s="225" t="s">
        <v>256</v>
      </c>
      <c r="G162" s="225" t="s">
        <v>256</v>
      </c>
      <c r="H162" s="225" t="s">
        <v>256</v>
      </c>
      <c r="I162" s="225" t="s">
        <v>256</v>
      </c>
      <c r="J162" s="320" t="s">
        <v>256</v>
      </c>
      <c r="K162" s="224" t="s">
        <v>256</v>
      </c>
      <c r="L162" s="224" t="s">
        <v>256</v>
      </c>
      <c r="M162" s="224" t="s">
        <v>256</v>
      </c>
      <c r="N162" s="224" t="s">
        <v>256</v>
      </c>
      <c r="O162" s="320" t="s">
        <v>256</v>
      </c>
      <c r="P162" s="226" t="s">
        <v>256</v>
      </c>
      <c r="Q162" s="374"/>
      <c r="R162" s="323" t="s">
        <v>1673</v>
      </c>
      <c r="S162" s="324" t="str">
        <f t="shared" si="13"/>
        <v/>
      </c>
      <c r="T162" s="325" t="str">
        <f t="shared" si="14"/>
        <v/>
      </c>
      <c r="U162" s="228" t="s">
        <v>1673</v>
      </c>
      <c r="V162" s="228" t="s">
        <v>1673</v>
      </c>
      <c r="W162" s="228" t="s">
        <v>1673</v>
      </c>
      <c r="X162" s="229" t="s">
        <v>1673</v>
      </c>
      <c r="Y162" s="288" t="str">
        <f t="shared" si="15"/>
        <v>non</v>
      </c>
      <c r="Z162" s="328" t="str">
        <f t="shared" si="16"/>
        <v/>
      </c>
      <c r="AA162" s="9"/>
      <c r="AB162" s="1"/>
      <c r="AC162" s="190" t="str">
        <f>_xlfn.XLOOKUP(E162&amp;F162&amp;G162&amp;H162&amp;I162&amp;J162&amp;K162&amp;L162&amp;M162&amp;N162&amp;O162&amp;P162,'[2]2.4 wsLookup'!$M$2:$M$96,'[2]2.4 wsLookup'!$N$2:$N$96,"Introuvable")</f>
        <v>Introuvable</v>
      </c>
      <c r="AD162" s="190" t="str">
        <f>_xlfn.XLOOKUP(E162&amp;F162&amp;G162&amp;H162&amp;I162&amp;J162&amp;K162&amp;L162&amp;M162&amp;N162&amp;O162&amp;P162,'[2]2.4 wsLookup'!$M$2:$M$96,'[2]2.4 wsLookup'!$O$2:$O$96,"Introuvable")</f>
        <v>Introuvable</v>
      </c>
      <c r="AE162" s="90" t="e">
        <f t="shared" si="18"/>
        <v>#VALUE!</v>
      </c>
      <c r="AF162" s="206" t="str">
        <f>_xlfn.XLOOKUP(E162&amp;F162&amp;G162&amp;H162&amp;I162&amp;J162&amp;K162&amp;L162&amp;M162&amp;N162&amp;O162&amp;P162,'[2]2.4 wsLookup'!$M$2:$M$96,'[2]2.4 wsLookup'!$Q$2:$Q$96,"Introuvable")</f>
        <v>Introuvable</v>
      </c>
      <c r="AG162" s="91" t="str">
        <f>_xlfn.XLOOKUP(E162&amp;F162&amp;G162&amp;H162&amp;I162&amp;J162&amp;K162&amp;L162&amp;M162&amp;N162&amp;O162&amp;P162,'[2]2.4 wsLookup'!$M$2:$M$96,'[2]2.4 wsLookup'!$P$2:$P$96,"Introuvable")</f>
        <v>Introuvable</v>
      </c>
      <c r="AH162" s="91" t="str">
        <f>_xlfn.XLOOKUP(E162&amp;F162&amp;G162&amp;H162&amp;I162&amp;J162&amp;K162&amp;L162&amp;M162&amp;N162&amp;O162&amp;P162,'[2]2.4 wsLookup'!$M$2:$M$96,'[2]2.4 wsLookup'!$R$2:$R$96,"Introuvable")</f>
        <v>Introuvable</v>
      </c>
      <c r="AI162" s="193" t="str">
        <f>_xlfn.XLOOKUP(E162&amp;F162&amp;G162&amp;H162&amp;I162&amp;J162&amp;K162&amp;L162&amp;M162&amp;N162&amp;O162&amp;P162,'[2]2.4 wsLookup'!$M$2:$M$96,'[2]2.4 wsLookup'!$S$2:$S$96,"Introuvable")</f>
        <v>Introuvable</v>
      </c>
      <c r="AK162" t="str">
        <f t="shared" si="17"/>
        <v>|-|-|-|-|-|-|-|-|-|-|-</v>
      </c>
      <c r="AO162" t="str">
        <f t="shared" si="12"/>
        <v>en localité|non|3|non|non|sûr|fluide|non|non|non|oui|oui|élevé</v>
      </c>
    </row>
    <row r="163" spans="1:41" ht="39" customHeight="1">
      <c r="A163" s="1"/>
      <c r="B163" s="1"/>
      <c r="C163" s="188" t="s">
        <v>1878</v>
      </c>
      <c r="D163" s="227"/>
      <c r="E163" s="225"/>
      <c r="F163" s="225" t="s">
        <v>256</v>
      </c>
      <c r="G163" s="225" t="s">
        <v>256</v>
      </c>
      <c r="H163" s="225" t="s">
        <v>256</v>
      </c>
      <c r="I163" s="225" t="s">
        <v>256</v>
      </c>
      <c r="J163" s="320" t="s">
        <v>256</v>
      </c>
      <c r="K163" s="224" t="s">
        <v>256</v>
      </c>
      <c r="L163" s="224" t="s">
        <v>256</v>
      </c>
      <c r="M163" s="224" t="s">
        <v>256</v>
      </c>
      <c r="N163" s="224" t="s">
        <v>256</v>
      </c>
      <c r="O163" s="320" t="s">
        <v>256</v>
      </c>
      <c r="P163" s="226" t="s">
        <v>256</v>
      </c>
      <c r="Q163" s="374"/>
      <c r="R163" s="323" t="s">
        <v>1673</v>
      </c>
      <c r="S163" s="324" t="str">
        <f t="shared" si="13"/>
        <v/>
      </c>
      <c r="T163" s="325" t="str">
        <f t="shared" si="14"/>
        <v/>
      </c>
      <c r="U163" s="228" t="s">
        <v>1673</v>
      </c>
      <c r="V163" s="228" t="s">
        <v>1673</v>
      </c>
      <c r="W163" s="228" t="s">
        <v>1673</v>
      </c>
      <c r="X163" s="229" t="s">
        <v>1673</v>
      </c>
      <c r="Y163" s="288" t="str">
        <f t="shared" si="15"/>
        <v>non</v>
      </c>
      <c r="Z163" s="328" t="str">
        <f t="shared" si="16"/>
        <v/>
      </c>
      <c r="AA163" s="9"/>
      <c r="AB163" s="1"/>
      <c r="AC163" s="190" t="str">
        <f>_xlfn.XLOOKUP(E163&amp;F163&amp;G163&amp;H163&amp;I163&amp;J163&amp;K163&amp;L163&amp;M163&amp;N163&amp;O163&amp;P163,'[2]2.4 wsLookup'!$M$2:$M$96,'[2]2.4 wsLookup'!$N$2:$N$96,"Introuvable")</f>
        <v>Introuvable</v>
      </c>
      <c r="AD163" s="190" t="str">
        <f>_xlfn.XLOOKUP(E163&amp;F163&amp;G163&amp;H163&amp;I163&amp;J163&amp;K163&amp;L163&amp;M163&amp;N163&amp;O163&amp;P163,'[2]2.4 wsLookup'!$M$2:$M$96,'[2]2.4 wsLookup'!$O$2:$O$96,"Introuvable")</f>
        <v>Introuvable</v>
      </c>
      <c r="AE163" s="90" t="e">
        <f t="shared" si="18"/>
        <v>#VALUE!</v>
      </c>
      <c r="AF163" s="206" t="str">
        <f>_xlfn.XLOOKUP(E163&amp;F163&amp;G163&amp;H163&amp;I163&amp;J163&amp;K163&amp;L163&amp;M163&amp;N163&amp;O163&amp;P163,'[2]2.4 wsLookup'!$M$2:$M$96,'[2]2.4 wsLookup'!$Q$2:$Q$96,"Introuvable")</f>
        <v>Introuvable</v>
      </c>
      <c r="AG163" s="91" t="str">
        <f>_xlfn.XLOOKUP(E163&amp;F163&amp;G163&amp;H163&amp;I163&amp;J163&amp;K163&amp;L163&amp;M163&amp;N163&amp;O163&amp;P163,'[2]2.4 wsLookup'!$M$2:$M$96,'[2]2.4 wsLookup'!$P$2:$P$96,"Introuvable")</f>
        <v>Introuvable</v>
      </c>
      <c r="AH163" s="91" t="str">
        <f>_xlfn.XLOOKUP(E163&amp;F163&amp;G163&amp;H163&amp;I163&amp;J163&amp;K163&amp;L163&amp;M163&amp;N163&amp;O163&amp;P163,'[2]2.4 wsLookup'!$M$2:$M$96,'[2]2.4 wsLookup'!$R$2:$R$96,"Introuvable")</f>
        <v>Introuvable</v>
      </c>
      <c r="AI163" s="193" t="str">
        <f>_xlfn.XLOOKUP(E163&amp;F163&amp;G163&amp;H163&amp;I163&amp;J163&amp;K163&amp;L163&amp;M163&amp;N163&amp;O163&amp;P163,'[2]2.4 wsLookup'!$M$2:$M$96,'[2]2.4 wsLookup'!$S$2:$S$96,"Introuvable")</f>
        <v>Introuvable</v>
      </c>
      <c r="AK163" t="str">
        <f t="shared" si="17"/>
        <v>|-|-|-|-|-|-|-|-|-|-|-</v>
      </c>
      <c r="AO163" t="str">
        <f t="shared" si="12"/>
        <v>en localité|non|&gt;3|non|non|acceptable|acceptable|non|non|non|non|non|moyen</v>
      </c>
    </row>
    <row r="164" spans="1:41" ht="39" customHeight="1">
      <c r="A164" s="1"/>
      <c r="B164" s="1"/>
      <c r="C164" s="188" t="s">
        <v>1879</v>
      </c>
      <c r="D164" s="227"/>
      <c r="E164" s="225"/>
      <c r="F164" s="225" t="s">
        <v>256</v>
      </c>
      <c r="G164" s="225" t="s">
        <v>256</v>
      </c>
      <c r="H164" s="225" t="s">
        <v>256</v>
      </c>
      <c r="I164" s="225" t="s">
        <v>256</v>
      </c>
      <c r="J164" s="320" t="s">
        <v>256</v>
      </c>
      <c r="K164" s="224" t="s">
        <v>256</v>
      </c>
      <c r="L164" s="224" t="s">
        <v>256</v>
      </c>
      <c r="M164" s="224" t="s">
        <v>256</v>
      </c>
      <c r="N164" s="224" t="s">
        <v>256</v>
      </c>
      <c r="O164" s="320" t="s">
        <v>256</v>
      </c>
      <c r="P164" s="226" t="s">
        <v>256</v>
      </c>
      <c r="Q164" s="374"/>
      <c r="R164" s="323" t="s">
        <v>1673</v>
      </c>
      <c r="S164" s="324" t="str">
        <f t="shared" si="13"/>
        <v/>
      </c>
      <c r="T164" s="325" t="str">
        <f t="shared" si="14"/>
        <v/>
      </c>
      <c r="U164" s="228" t="s">
        <v>1673</v>
      </c>
      <c r="V164" s="228" t="s">
        <v>1673</v>
      </c>
      <c r="W164" s="228" t="s">
        <v>1673</v>
      </c>
      <c r="X164" s="229" t="s">
        <v>1673</v>
      </c>
      <c r="Y164" s="288" t="str">
        <f t="shared" si="15"/>
        <v>non</v>
      </c>
      <c r="Z164" s="328" t="str">
        <f t="shared" si="16"/>
        <v/>
      </c>
      <c r="AA164" s="9"/>
      <c r="AB164" s="1"/>
      <c r="AC164" s="190" t="str">
        <f>_xlfn.XLOOKUP(E164&amp;F164&amp;G164&amp;H164&amp;I164&amp;J164&amp;K164&amp;L164&amp;M164&amp;N164&amp;O164&amp;P164,'[2]2.4 wsLookup'!$M$2:$M$96,'[2]2.4 wsLookup'!$N$2:$N$96,"Introuvable")</f>
        <v>Introuvable</v>
      </c>
      <c r="AD164" s="190" t="str">
        <f>_xlfn.XLOOKUP(E164&amp;F164&amp;G164&amp;H164&amp;I164&amp;J164&amp;K164&amp;L164&amp;M164&amp;N164&amp;O164&amp;P164,'[2]2.4 wsLookup'!$M$2:$M$96,'[2]2.4 wsLookup'!$O$2:$O$96,"Introuvable")</f>
        <v>Introuvable</v>
      </c>
      <c r="AE164" s="90" t="e">
        <f t="shared" si="18"/>
        <v>#VALUE!</v>
      </c>
      <c r="AF164" s="206" t="str">
        <f>_xlfn.XLOOKUP(E164&amp;F164&amp;G164&amp;H164&amp;I164&amp;J164&amp;K164&amp;L164&amp;M164&amp;N164&amp;O164&amp;P164,'[2]2.4 wsLookup'!$M$2:$M$96,'[2]2.4 wsLookup'!$Q$2:$Q$96,"Introuvable")</f>
        <v>Introuvable</v>
      </c>
      <c r="AG164" s="91" t="str">
        <f>_xlfn.XLOOKUP(E164&amp;F164&amp;G164&amp;H164&amp;I164&amp;J164&amp;K164&amp;L164&amp;M164&amp;N164&amp;O164&amp;P164,'[2]2.4 wsLookup'!$M$2:$M$96,'[2]2.4 wsLookup'!$P$2:$P$96,"Introuvable")</f>
        <v>Introuvable</v>
      </c>
      <c r="AH164" s="91" t="str">
        <f>_xlfn.XLOOKUP(E164&amp;F164&amp;G164&amp;H164&amp;I164&amp;J164&amp;K164&amp;L164&amp;M164&amp;N164&amp;O164&amp;P164,'[2]2.4 wsLookup'!$M$2:$M$96,'[2]2.4 wsLookup'!$R$2:$R$96,"Introuvable")</f>
        <v>Introuvable</v>
      </c>
      <c r="AI164" s="193" t="str">
        <f>_xlfn.XLOOKUP(E164&amp;F164&amp;G164&amp;H164&amp;I164&amp;J164&amp;K164&amp;L164&amp;M164&amp;N164&amp;O164&amp;P164,'[2]2.4 wsLookup'!$M$2:$M$96,'[2]2.4 wsLookup'!$S$2:$S$96,"Introuvable")</f>
        <v>Introuvable</v>
      </c>
      <c r="AK164" t="str">
        <f t="shared" si="17"/>
        <v>|-|-|-|-|-|-|-|-|-|-|-</v>
      </c>
      <c r="AO164" t="str">
        <f t="shared" si="12"/>
        <v>en localité|non|3|non|non|sûr|fluide|non|non|non|non|non|faible</v>
      </c>
    </row>
    <row r="165" spans="1:41" ht="39" customHeight="1">
      <c r="A165" s="1"/>
      <c r="B165" s="1"/>
      <c r="C165" s="188" t="s">
        <v>1880</v>
      </c>
      <c r="D165" s="227"/>
      <c r="E165" s="225"/>
      <c r="F165" s="225" t="s">
        <v>256</v>
      </c>
      <c r="G165" s="225" t="s">
        <v>256</v>
      </c>
      <c r="H165" s="225" t="s">
        <v>256</v>
      </c>
      <c r="I165" s="225" t="s">
        <v>256</v>
      </c>
      <c r="J165" s="320" t="s">
        <v>256</v>
      </c>
      <c r="K165" s="224" t="s">
        <v>256</v>
      </c>
      <c r="L165" s="224" t="s">
        <v>256</v>
      </c>
      <c r="M165" s="224" t="s">
        <v>256</v>
      </c>
      <c r="N165" s="224" t="s">
        <v>256</v>
      </c>
      <c r="O165" s="320" t="s">
        <v>256</v>
      </c>
      <c r="P165" s="226" t="s">
        <v>256</v>
      </c>
      <c r="Q165" s="374"/>
      <c r="R165" s="323" t="s">
        <v>1673</v>
      </c>
      <c r="S165" s="324" t="str">
        <f t="shared" si="13"/>
        <v/>
      </c>
      <c r="T165" s="325" t="str">
        <f t="shared" si="14"/>
        <v/>
      </c>
      <c r="U165" s="228" t="s">
        <v>1673</v>
      </c>
      <c r="V165" s="228" t="s">
        <v>1673</v>
      </c>
      <c r="W165" s="228" t="s">
        <v>1673</v>
      </c>
      <c r="X165" s="229" t="s">
        <v>1673</v>
      </c>
      <c r="Y165" s="288" t="str">
        <f t="shared" si="15"/>
        <v>non</v>
      </c>
      <c r="Z165" s="328" t="str">
        <f t="shared" si="16"/>
        <v/>
      </c>
      <c r="AA165" s="9"/>
      <c r="AB165" s="1"/>
      <c r="AC165" s="190" t="str">
        <f>_xlfn.XLOOKUP(E165&amp;F165&amp;G165&amp;H165&amp;I165&amp;J165&amp;K165&amp;L165&amp;M165&amp;N165&amp;O165&amp;P165,'[2]2.4 wsLookup'!$M$2:$M$96,'[2]2.4 wsLookup'!$N$2:$N$96,"Introuvable")</f>
        <v>Introuvable</v>
      </c>
      <c r="AD165" s="190" t="str">
        <f>_xlfn.XLOOKUP(E165&amp;F165&amp;G165&amp;H165&amp;I165&amp;J165&amp;K165&amp;L165&amp;M165&amp;N165&amp;O165&amp;P165,'[2]2.4 wsLookup'!$M$2:$M$96,'[2]2.4 wsLookup'!$O$2:$O$96,"Introuvable")</f>
        <v>Introuvable</v>
      </c>
      <c r="AE165" s="90" t="e">
        <f t="shared" si="18"/>
        <v>#VALUE!</v>
      </c>
      <c r="AF165" s="206" t="str">
        <f>_xlfn.XLOOKUP(E165&amp;F165&amp;G165&amp;H165&amp;I165&amp;J165&amp;K165&amp;L165&amp;M165&amp;N165&amp;O165&amp;P165,'[2]2.4 wsLookup'!$M$2:$M$96,'[2]2.4 wsLookup'!$Q$2:$Q$96,"Introuvable")</f>
        <v>Introuvable</v>
      </c>
      <c r="AG165" s="91" t="str">
        <f>_xlfn.XLOOKUP(E165&amp;F165&amp;G165&amp;H165&amp;I165&amp;J165&amp;K165&amp;L165&amp;M165&amp;N165&amp;O165&amp;P165,'[2]2.4 wsLookup'!$M$2:$M$96,'[2]2.4 wsLookup'!$P$2:$P$96,"Introuvable")</f>
        <v>Introuvable</v>
      </c>
      <c r="AH165" s="91" t="str">
        <f>_xlfn.XLOOKUP(E165&amp;F165&amp;G165&amp;H165&amp;I165&amp;J165&amp;K165&amp;L165&amp;M165&amp;N165&amp;O165&amp;P165,'[2]2.4 wsLookup'!$M$2:$M$96,'[2]2.4 wsLookup'!$R$2:$R$96,"Introuvable")</f>
        <v>Introuvable</v>
      </c>
      <c r="AI165" s="193" t="str">
        <f>_xlfn.XLOOKUP(E165&amp;F165&amp;G165&amp;H165&amp;I165&amp;J165&amp;K165&amp;L165&amp;M165&amp;N165&amp;O165&amp;P165,'[2]2.4 wsLookup'!$M$2:$M$96,'[2]2.4 wsLookup'!$S$2:$S$96,"Introuvable")</f>
        <v>Introuvable</v>
      </c>
      <c r="AK165" t="str">
        <f t="shared" si="17"/>
        <v>|-|-|-|-|-|-|-|-|-|-|-</v>
      </c>
      <c r="AO165" t="str">
        <f t="shared" si="12"/>
        <v>en localité|non|3|non|non|sûr|acceptable|non|non|non|non|non|moyen</v>
      </c>
    </row>
    <row r="166" spans="1:41" ht="39" customHeight="1">
      <c r="A166" s="1"/>
      <c r="B166" s="1"/>
      <c r="C166" s="188" t="s">
        <v>1881</v>
      </c>
      <c r="D166" s="227"/>
      <c r="E166" s="225"/>
      <c r="F166" s="225" t="s">
        <v>256</v>
      </c>
      <c r="G166" s="225" t="s">
        <v>256</v>
      </c>
      <c r="H166" s="225" t="s">
        <v>256</v>
      </c>
      <c r="I166" s="225" t="s">
        <v>256</v>
      </c>
      <c r="J166" s="320" t="s">
        <v>256</v>
      </c>
      <c r="K166" s="224" t="s">
        <v>256</v>
      </c>
      <c r="L166" s="224" t="s">
        <v>256</v>
      </c>
      <c r="M166" s="224" t="s">
        <v>256</v>
      </c>
      <c r="N166" s="224" t="s">
        <v>256</v>
      </c>
      <c r="O166" s="320" t="s">
        <v>256</v>
      </c>
      <c r="P166" s="226" t="s">
        <v>256</v>
      </c>
      <c r="Q166" s="374"/>
      <c r="R166" s="323" t="s">
        <v>1673</v>
      </c>
      <c r="S166" s="324" t="str">
        <f t="shared" si="13"/>
        <v/>
      </c>
      <c r="T166" s="325" t="str">
        <f t="shared" si="14"/>
        <v/>
      </c>
      <c r="U166" s="228" t="s">
        <v>1673</v>
      </c>
      <c r="V166" s="228" t="s">
        <v>1673</v>
      </c>
      <c r="W166" s="228" t="s">
        <v>1673</v>
      </c>
      <c r="X166" s="229" t="s">
        <v>1673</v>
      </c>
      <c r="Y166" s="288" t="str">
        <f t="shared" si="15"/>
        <v>non</v>
      </c>
      <c r="Z166" s="328" t="str">
        <f t="shared" si="16"/>
        <v/>
      </c>
      <c r="AA166" s="9"/>
      <c r="AB166" s="1"/>
      <c r="AC166" s="190" t="str">
        <f>_xlfn.XLOOKUP(E166&amp;F166&amp;G166&amp;H166&amp;I166&amp;J166&amp;K166&amp;L166&amp;M166&amp;N166&amp;O166&amp;P166,'[2]2.4 wsLookup'!$M$2:$M$96,'[2]2.4 wsLookup'!$N$2:$N$96,"Introuvable")</f>
        <v>Introuvable</v>
      </c>
      <c r="AD166" s="190" t="str">
        <f>_xlfn.XLOOKUP(E166&amp;F166&amp;G166&amp;H166&amp;I166&amp;J166&amp;K166&amp;L166&amp;M166&amp;N166&amp;O166&amp;P166,'[2]2.4 wsLookup'!$M$2:$M$96,'[2]2.4 wsLookup'!$O$2:$O$96,"Introuvable")</f>
        <v>Introuvable</v>
      </c>
      <c r="AE166" s="90" t="e">
        <f t="shared" si="18"/>
        <v>#VALUE!</v>
      </c>
      <c r="AF166" s="206" t="str">
        <f>_xlfn.XLOOKUP(E166&amp;F166&amp;G166&amp;H166&amp;I166&amp;J166&amp;K166&amp;L166&amp;M166&amp;N166&amp;O166&amp;P166,'[2]2.4 wsLookup'!$M$2:$M$96,'[2]2.4 wsLookup'!$Q$2:$Q$96,"Introuvable")</f>
        <v>Introuvable</v>
      </c>
      <c r="AG166" s="91" t="str">
        <f>_xlfn.XLOOKUP(E166&amp;F166&amp;G166&amp;H166&amp;I166&amp;J166&amp;K166&amp;L166&amp;M166&amp;N166&amp;O166&amp;P166,'[2]2.4 wsLookup'!$M$2:$M$96,'[2]2.4 wsLookup'!$P$2:$P$96,"Introuvable")</f>
        <v>Introuvable</v>
      </c>
      <c r="AH166" s="91" t="str">
        <f>_xlfn.XLOOKUP(E166&amp;F166&amp;G166&amp;H166&amp;I166&amp;J166&amp;K166&amp;L166&amp;M166&amp;N166&amp;O166&amp;P166,'[2]2.4 wsLookup'!$M$2:$M$96,'[2]2.4 wsLookup'!$R$2:$R$96,"Introuvable")</f>
        <v>Introuvable</v>
      </c>
      <c r="AI166" s="193" t="str">
        <f>_xlfn.XLOOKUP(E166&amp;F166&amp;G166&amp;H166&amp;I166&amp;J166&amp;K166&amp;L166&amp;M166&amp;N166&amp;O166&amp;P166,'[2]2.4 wsLookup'!$M$2:$M$96,'[2]2.4 wsLookup'!$S$2:$S$96,"Introuvable")</f>
        <v>Introuvable</v>
      </c>
      <c r="AK166" t="str">
        <f t="shared" si="17"/>
        <v>|-|-|-|-|-|-|-|-|-|-|-</v>
      </c>
      <c r="AO166" t="str">
        <f t="shared" si="12"/>
        <v>en localité|non|&gt;3|non|oui|acceptable|acceptable|non|non|non|non|non|moyen</v>
      </c>
    </row>
    <row r="167" spans="1:41" ht="39" customHeight="1">
      <c r="A167" s="1"/>
      <c r="B167" s="1"/>
      <c r="C167" s="188" t="s">
        <v>1882</v>
      </c>
      <c r="D167" s="227"/>
      <c r="E167" s="225"/>
      <c r="F167" s="225" t="s">
        <v>256</v>
      </c>
      <c r="G167" s="225" t="s">
        <v>256</v>
      </c>
      <c r="H167" s="225" t="s">
        <v>256</v>
      </c>
      <c r="I167" s="225" t="s">
        <v>256</v>
      </c>
      <c r="J167" s="320" t="s">
        <v>256</v>
      </c>
      <c r="K167" s="224" t="s">
        <v>256</v>
      </c>
      <c r="L167" s="224" t="s">
        <v>256</v>
      </c>
      <c r="M167" s="224" t="s">
        <v>256</v>
      </c>
      <c r="N167" s="224" t="s">
        <v>256</v>
      </c>
      <c r="O167" s="320" t="s">
        <v>256</v>
      </c>
      <c r="P167" s="226" t="s">
        <v>256</v>
      </c>
      <c r="Q167" s="374"/>
      <c r="R167" s="323" t="s">
        <v>1673</v>
      </c>
      <c r="S167" s="324" t="str">
        <f t="shared" si="13"/>
        <v/>
      </c>
      <c r="T167" s="325" t="str">
        <f t="shared" si="14"/>
        <v/>
      </c>
      <c r="U167" s="228" t="s">
        <v>1673</v>
      </c>
      <c r="V167" s="228" t="s">
        <v>1673</v>
      </c>
      <c r="W167" s="228" t="s">
        <v>1673</v>
      </c>
      <c r="X167" s="229" t="s">
        <v>1673</v>
      </c>
      <c r="Y167" s="288" t="str">
        <f t="shared" si="15"/>
        <v>non</v>
      </c>
      <c r="Z167" s="328" t="str">
        <f t="shared" si="16"/>
        <v/>
      </c>
      <c r="AA167" s="9"/>
      <c r="AB167" s="1"/>
      <c r="AC167" s="190" t="str">
        <f>_xlfn.XLOOKUP(E167&amp;F167&amp;G167&amp;H167&amp;I167&amp;J167&amp;K167&amp;L167&amp;M167&amp;N167&amp;O167&amp;P167,'[2]2.4 wsLookup'!$M$2:$M$96,'[2]2.4 wsLookup'!$N$2:$N$96,"Introuvable")</f>
        <v>Introuvable</v>
      </c>
      <c r="AD167" s="190" t="str">
        <f>_xlfn.XLOOKUP(E167&amp;F167&amp;G167&amp;H167&amp;I167&amp;J167&amp;K167&amp;L167&amp;M167&amp;N167&amp;O167&amp;P167,'[2]2.4 wsLookup'!$M$2:$M$96,'[2]2.4 wsLookup'!$O$2:$O$96,"Introuvable")</f>
        <v>Introuvable</v>
      </c>
      <c r="AE167" s="90" t="e">
        <f t="shared" si="18"/>
        <v>#VALUE!</v>
      </c>
      <c r="AF167" s="206" t="str">
        <f>_xlfn.XLOOKUP(E167&amp;F167&amp;G167&amp;H167&amp;I167&amp;J167&amp;K167&amp;L167&amp;M167&amp;N167&amp;O167&amp;P167,'[2]2.4 wsLookup'!$M$2:$M$96,'[2]2.4 wsLookup'!$Q$2:$Q$96,"Introuvable")</f>
        <v>Introuvable</v>
      </c>
      <c r="AG167" s="91" t="str">
        <f>_xlfn.XLOOKUP(E167&amp;F167&amp;G167&amp;H167&amp;I167&amp;J167&amp;K167&amp;L167&amp;M167&amp;N167&amp;O167&amp;P167,'[2]2.4 wsLookup'!$M$2:$M$96,'[2]2.4 wsLookup'!$P$2:$P$96,"Introuvable")</f>
        <v>Introuvable</v>
      </c>
      <c r="AH167" s="91" t="str">
        <f>_xlfn.XLOOKUP(E167&amp;F167&amp;G167&amp;H167&amp;I167&amp;J167&amp;K167&amp;L167&amp;M167&amp;N167&amp;O167&amp;P167,'[2]2.4 wsLookup'!$M$2:$M$96,'[2]2.4 wsLookup'!$R$2:$R$96,"Introuvable")</f>
        <v>Introuvable</v>
      </c>
      <c r="AI167" s="193" t="str">
        <f>_xlfn.XLOOKUP(E167&amp;F167&amp;G167&amp;H167&amp;I167&amp;J167&amp;K167&amp;L167&amp;M167&amp;N167&amp;O167&amp;P167,'[2]2.4 wsLookup'!$M$2:$M$96,'[2]2.4 wsLookup'!$S$2:$S$96,"Introuvable")</f>
        <v>Introuvable</v>
      </c>
      <c r="AK167" t="str">
        <f t="shared" si="17"/>
        <v>|-|-|-|-|-|-|-|-|-|-|-</v>
      </c>
      <c r="AO167" t="str">
        <f t="shared" si="12"/>
        <v>en localité|non|&gt;3|non|non|acceptable|acceptable|non|non|oui|non|oui|élevé</v>
      </c>
    </row>
    <row r="168" spans="1:41" ht="39" customHeight="1">
      <c r="A168" s="1"/>
      <c r="B168" s="1"/>
      <c r="C168" s="188" t="s">
        <v>1883</v>
      </c>
      <c r="D168" s="227"/>
      <c r="E168" s="225"/>
      <c r="F168" s="225" t="s">
        <v>256</v>
      </c>
      <c r="G168" s="225" t="s">
        <v>256</v>
      </c>
      <c r="H168" s="225" t="s">
        <v>256</v>
      </c>
      <c r="I168" s="225" t="s">
        <v>256</v>
      </c>
      <c r="J168" s="320" t="s">
        <v>256</v>
      </c>
      <c r="K168" s="224" t="s">
        <v>256</v>
      </c>
      <c r="L168" s="224" t="s">
        <v>256</v>
      </c>
      <c r="M168" s="224" t="s">
        <v>256</v>
      </c>
      <c r="N168" s="224" t="s">
        <v>256</v>
      </c>
      <c r="O168" s="320" t="s">
        <v>256</v>
      </c>
      <c r="P168" s="226" t="s">
        <v>256</v>
      </c>
      <c r="Q168" s="374"/>
      <c r="R168" s="323" t="s">
        <v>1673</v>
      </c>
      <c r="S168" s="324" t="str">
        <f t="shared" si="13"/>
        <v/>
      </c>
      <c r="T168" s="325" t="str">
        <f t="shared" si="14"/>
        <v/>
      </c>
      <c r="U168" s="228" t="s">
        <v>1673</v>
      </c>
      <c r="V168" s="228" t="s">
        <v>1673</v>
      </c>
      <c r="W168" s="228" t="s">
        <v>1673</v>
      </c>
      <c r="X168" s="229" t="s">
        <v>1673</v>
      </c>
      <c r="Y168" s="288" t="str">
        <f t="shared" si="15"/>
        <v>non</v>
      </c>
      <c r="Z168" s="328" t="str">
        <f t="shared" si="16"/>
        <v/>
      </c>
      <c r="AA168" s="9"/>
      <c r="AB168" s="1"/>
      <c r="AC168" s="190" t="str">
        <f>_xlfn.XLOOKUP(E168&amp;F168&amp;G168&amp;H168&amp;I168&amp;J168&amp;K168&amp;L168&amp;M168&amp;N168&amp;O168&amp;P168,'[2]2.4 wsLookup'!$M$2:$M$96,'[2]2.4 wsLookup'!$N$2:$N$96,"Introuvable")</f>
        <v>Introuvable</v>
      </c>
      <c r="AD168" s="190" t="str">
        <f>_xlfn.XLOOKUP(E168&amp;F168&amp;G168&amp;H168&amp;I168&amp;J168&amp;K168&amp;L168&amp;M168&amp;N168&amp;O168&amp;P168,'[2]2.4 wsLookup'!$M$2:$M$96,'[2]2.4 wsLookup'!$O$2:$O$96,"Introuvable")</f>
        <v>Introuvable</v>
      </c>
      <c r="AE168" s="90" t="e">
        <f t="shared" si="18"/>
        <v>#VALUE!</v>
      </c>
      <c r="AF168" s="206" t="str">
        <f>_xlfn.XLOOKUP(E168&amp;F168&amp;G168&amp;H168&amp;I168&amp;J168&amp;K168&amp;L168&amp;M168&amp;N168&amp;O168&amp;P168,'[2]2.4 wsLookup'!$M$2:$M$96,'[2]2.4 wsLookup'!$Q$2:$Q$96,"Introuvable")</f>
        <v>Introuvable</v>
      </c>
      <c r="AG168" s="91" t="str">
        <f>_xlfn.XLOOKUP(E168&amp;F168&amp;G168&amp;H168&amp;I168&amp;J168&amp;K168&amp;L168&amp;M168&amp;N168&amp;O168&amp;P168,'[2]2.4 wsLookup'!$M$2:$M$96,'[2]2.4 wsLookup'!$P$2:$P$96,"Introuvable")</f>
        <v>Introuvable</v>
      </c>
      <c r="AH168" s="91" t="str">
        <f>_xlfn.XLOOKUP(E168&amp;F168&amp;G168&amp;H168&amp;I168&amp;J168&amp;K168&amp;L168&amp;M168&amp;N168&amp;O168&amp;P168,'[2]2.4 wsLookup'!$M$2:$M$96,'[2]2.4 wsLookup'!$R$2:$R$96,"Introuvable")</f>
        <v>Introuvable</v>
      </c>
      <c r="AI168" s="193" t="str">
        <f>_xlfn.XLOOKUP(E168&amp;F168&amp;G168&amp;H168&amp;I168&amp;J168&amp;K168&amp;L168&amp;M168&amp;N168&amp;O168&amp;P168,'[2]2.4 wsLookup'!$M$2:$M$96,'[2]2.4 wsLookup'!$S$2:$S$96,"Introuvable")</f>
        <v>Introuvable</v>
      </c>
      <c r="AK168" t="str">
        <f t="shared" si="17"/>
        <v>|-|-|-|-|-|-|-|-|-|-|-</v>
      </c>
      <c r="AO168" t="str">
        <f t="shared" si="12"/>
        <v>en localité|non|&gt;3|non|oui|acceptable|acceptable|non|non|non|non|non|moyen</v>
      </c>
    </row>
    <row r="169" spans="1:41" ht="39" customHeight="1">
      <c r="A169" s="1"/>
      <c r="B169" s="1"/>
      <c r="C169" s="188" t="s">
        <v>1884</v>
      </c>
      <c r="D169" s="227"/>
      <c r="E169" s="225"/>
      <c r="F169" s="225" t="s">
        <v>256</v>
      </c>
      <c r="G169" s="225" t="s">
        <v>256</v>
      </c>
      <c r="H169" s="225" t="s">
        <v>256</v>
      </c>
      <c r="I169" s="225" t="s">
        <v>256</v>
      </c>
      <c r="J169" s="320" t="s">
        <v>256</v>
      </c>
      <c r="K169" s="224" t="s">
        <v>256</v>
      </c>
      <c r="L169" s="224" t="s">
        <v>256</v>
      </c>
      <c r="M169" s="224" t="s">
        <v>256</v>
      </c>
      <c r="N169" s="224" t="s">
        <v>256</v>
      </c>
      <c r="O169" s="320" t="s">
        <v>256</v>
      </c>
      <c r="P169" s="226" t="s">
        <v>256</v>
      </c>
      <c r="Q169" s="374"/>
      <c r="R169" s="323" t="s">
        <v>1673</v>
      </c>
      <c r="S169" s="324" t="str">
        <f t="shared" si="13"/>
        <v/>
      </c>
      <c r="T169" s="325" t="str">
        <f t="shared" si="14"/>
        <v/>
      </c>
      <c r="U169" s="228" t="s">
        <v>1673</v>
      </c>
      <c r="V169" s="228" t="s">
        <v>1673</v>
      </c>
      <c r="W169" s="228" t="s">
        <v>1673</v>
      </c>
      <c r="X169" s="229" t="s">
        <v>1673</v>
      </c>
      <c r="Y169" s="288" t="str">
        <f t="shared" si="15"/>
        <v>non</v>
      </c>
      <c r="Z169" s="328" t="str">
        <f t="shared" si="16"/>
        <v/>
      </c>
      <c r="AA169" s="9"/>
      <c r="AB169" s="1"/>
      <c r="AC169" s="190" t="str">
        <f>_xlfn.XLOOKUP(E169&amp;F169&amp;G169&amp;H169&amp;I169&amp;J169&amp;K169&amp;L169&amp;M169&amp;N169&amp;O169&amp;P169,'[2]2.4 wsLookup'!$M$2:$M$96,'[2]2.4 wsLookup'!$N$2:$N$96,"Introuvable")</f>
        <v>Introuvable</v>
      </c>
      <c r="AD169" s="190" t="str">
        <f>_xlfn.XLOOKUP(E169&amp;F169&amp;G169&amp;H169&amp;I169&amp;J169&amp;K169&amp;L169&amp;M169&amp;N169&amp;O169&amp;P169,'[2]2.4 wsLookup'!$M$2:$M$96,'[2]2.4 wsLookup'!$O$2:$O$96,"Introuvable")</f>
        <v>Introuvable</v>
      </c>
      <c r="AE169" s="90" t="e">
        <f t="shared" si="18"/>
        <v>#VALUE!</v>
      </c>
      <c r="AF169" s="206" t="str">
        <f>_xlfn.XLOOKUP(E169&amp;F169&amp;G169&amp;H169&amp;I169&amp;J169&amp;K169&amp;L169&amp;M169&amp;N169&amp;O169&amp;P169,'[2]2.4 wsLookup'!$M$2:$M$96,'[2]2.4 wsLookup'!$Q$2:$Q$96,"Introuvable")</f>
        <v>Introuvable</v>
      </c>
      <c r="AG169" s="91" t="str">
        <f>_xlfn.XLOOKUP(E169&amp;F169&amp;G169&amp;H169&amp;I169&amp;J169&amp;K169&amp;L169&amp;M169&amp;N169&amp;O169&amp;P169,'[2]2.4 wsLookup'!$M$2:$M$96,'[2]2.4 wsLookup'!$P$2:$P$96,"Introuvable")</f>
        <v>Introuvable</v>
      </c>
      <c r="AH169" s="91" t="str">
        <f>_xlfn.XLOOKUP(E169&amp;F169&amp;G169&amp;H169&amp;I169&amp;J169&amp;K169&amp;L169&amp;M169&amp;N169&amp;O169&amp;P169,'[2]2.4 wsLookup'!$M$2:$M$96,'[2]2.4 wsLookup'!$R$2:$R$96,"Introuvable")</f>
        <v>Introuvable</v>
      </c>
      <c r="AI169" s="193" t="str">
        <f>_xlfn.XLOOKUP(E169&amp;F169&amp;G169&amp;H169&amp;I169&amp;J169&amp;K169&amp;L169&amp;M169&amp;N169&amp;O169&amp;P169,'[2]2.4 wsLookup'!$M$2:$M$96,'[2]2.4 wsLookup'!$S$2:$S$96,"Introuvable")</f>
        <v>Introuvable</v>
      </c>
      <c r="AK169" t="str">
        <f t="shared" si="17"/>
        <v>|-|-|-|-|-|-|-|-|-|-|-</v>
      </c>
      <c r="AO169" t="str">
        <f t="shared" si="12"/>
        <v>en localité|non|3|non|oui|sûr|instable|non|non|non|non|non|élevé</v>
      </c>
    </row>
    <row r="170" spans="1:41" ht="39" customHeight="1">
      <c r="A170" s="1"/>
      <c r="B170" s="1"/>
      <c r="C170" s="188" t="s">
        <v>1885</v>
      </c>
      <c r="D170" s="227"/>
      <c r="E170" s="225"/>
      <c r="F170" s="225" t="s">
        <v>256</v>
      </c>
      <c r="G170" s="225" t="s">
        <v>256</v>
      </c>
      <c r="H170" s="225" t="s">
        <v>256</v>
      </c>
      <c r="I170" s="225" t="s">
        <v>256</v>
      </c>
      <c r="J170" s="320" t="s">
        <v>256</v>
      </c>
      <c r="K170" s="224" t="s">
        <v>256</v>
      </c>
      <c r="L170" s="224" t="s">
        <v>256</v>
      </c>
      <c r="M170" s="224" t="s">
        <v>256</v>
      </c>
      <c r="N170" s="224" t="s">
        <v>256</v>
      </c>
      <c r="O170" s="320" t="s">
        <v>256</v>
      </c>
      <c r="P170" s="226" t="s">
        <v>256</v>
      </c>
      <c r="Q170" s="374"/>
      <c r="R170" s="323" t="s">
        <v>1673</v>
      </c>
      <c r="S170" s="324" t="str">
        <f t="shared" si="13"/>
        <v/>
      </c>
      <c r="T170" s="325" t="str">
        <f t="shared" si="14"/>
        <v/>
      </c>
      <c r="U170" s="228" t="s">
        <v>1673</v>
      </c>
      <c r="V170" s="228" t="s">
        <v>1673</v>
      </c>
      <c r="W170" s="228" t="s">
        <v>1673</v>
      </c>
      <c r="X170" s="229" t="s">
        <v>1673</v>
      </c>
      <c r="Y170" s="288" t="str">
        <f t="shared" si="15"/>
        <v>non</v>
      </c>
      <c r="Z170" s="328" t="str">
        <f t="shared" si="16"/>
        <v/>
      </c>
      <c r="AA170" s="9"/>
      <c r="AB170" s="1"/>
      <c r="AC170" s="190" t="str">
        <f>_xlfn.XLOOKUP(E170&amp;F170&amp;G170&amp;H170&amp;I170&amp;J170&amp;K170&amp;L170&amp;M170&amp;N170&amp;O170&amp;P170,'[2]2.4 wsLookup'!$M$2:$M$96,'[2]2.4 wsLookup'!$N$2:$N$96,"Introuvable")</f>
        <v>Introuvable</v>
      </c>
      <c r="AD170" s="190" t="str">
        <f>_xlfn.XLOOKUP(E170&amp;F170&amp;G170&amp;H170&amp;I170&amp;J170&amp;K170&amp;L170&amp;M170&amp;N170&amp;O170&amp;P170,'[2]2.4 wsLookup'!$M$2:$M$96,'[2]2.4 wsLookup'!$O$2:$O$96,"Introuvable")</f>
        <v>Introuvable</v>
      </c>
      <c r="AE170" s="90" t="e">
        <f t="shared" si="18"/>
        <v>#VALUE!</v>
      </c>
      <c r="AF170" s="206" t="str">
        <f>_xlfn.XLOOKUP(E170&amp;F170&amp;G170&amp;H170&amp;I170&amp;J170&amp;K170&amp;L170&amp;M170&amp;N170&amp;O170&amp;P170,'[2]2.4 wsLookup'!$M$2:$M$96,'[2]2.4 wsLookup'!$Q$2:$Q$96,"Introuvable")</f>
        <v>Introuvable</v>
      </c>
      <c r="AG170" s="91" t="str">
        <f>_xlfn.XLOOKUP(E170&amp;F170&amp;G170&amp;H170&amp;I170&amp;J170&amp;K170&amp;L170&amp;M170&amp;N170&amp;O170&amp;P170,'[2]2.4 wsLookup'!$M$2:$M$96,'[2]2.4 wsLookup'!$P$2:$P$96,"Introuvable")</f>
        <v>Introuvable</v>
      </c>
      <c r="AH170" s="91" t="str">
        <f>_xlfn.XLOOKUP(E170&amp;F170&amp;G170&amp;H170&amp;I170&amp;J170&amp;K170&amp;L170&amp;M170&amp;N170&amp;O170&amp;P170,'[2]2.4 wsLookup'!$M$2:$M$96,'[2]2.4 wsLookup'!$R$2:$R$96,"Introuvable")</f>
        <v>Introuvable</v>
      </c>
      <c r="AI170" s="193" t="str">
        <f>_xlfn.XLOOKUP(E170&amp;F170&amp;G170&amp;H170&amp;I170&amp;J170&amp;K170&amp;L170&amp;M170&amp;N170&amp;O170&amp;P170,'[2]2.4 wsLookup'!$M$2:$M$96,'[2]2.4 wsLookup'!$S$2:$S$96,"Introuvable")</f>
        <v>Introuvable</v>
      </c>
      <c r="AK170" t="str">
        <f t="shared" si="17"/>
        <v>|-|-|-|-|-|-|-|-|-|-|-</v>
      </c>
      <c r="AO170" t="str">
        <f t="shared" si="12"/>
        <v>en localité|non|3|non|oui|sûr|instable|non|non|oui|non|oui|élevé</v>
      </c>
    </row>
    <row r="171" spans="1:41" ht="39" customHeight="1">
      <c r="A171" s="1"/>
      <c r="B171" s="1"/>
      <c r="C171" s="188" t="s">
        <v>1886</v>
      </c>
      <c r="D171" s="227"/>
      <c r="E171" s="225"/>
      <c r="F171" s="225" t="s">
        <v>256</v>
      </c>
      <c r="G171" s="225" t="s">
        <v>256</v>
      </c>
      <c r="H171" s="225" t="s">
        <v>256</v>
      </c>
      <c r="I171" s="225" t="s">
        <v>256</v>
      </c>
      <c r="J171" s="320" t="s">
        <v>256</v>
      </c>
      <c r="K171" s="224" t="s">
        <v>256</v>
      </c>
      <c r="L171" s="224" t="s">
        <v>256</v>
      </c>
      <c r="M171" s="224" t="s">
        <v>256</v>
      </c>
      <c r="N171" s="224" t="s">
        <v>256</v>
      </c>
      <c r="O171" s="320" t="s">
        <v>256</v>
      </c>
      <c r="P171" s="226" t="s">
        <v>256</v>
      </c>
      <c r="Q171" s="374"/>
      <c r="R171" s="323" t="s">
        <v>1673</v>
      </c>
      <c r="S171" s="324" t="str">
        <f t="shared" si="13"/>
        <v/>
      </c>
      <c r="T171" s="325" t="str">
        <f t="shared" si="14"/>
        <v/>
      </c>
      <c r="U171" s="228" t="s">
        <v>1673</v>
      </c>
      <c r="V171" s="228" t="s">
        <v>1673</v>
      </c>
      <c r="W171" s="228" t="s">
        <v>1673</v>
      </c>
      <c r="X171" s="229" t="s">
        <v>1673</v>
      </c>
      <c r="Y171" s="288" t="str">
        <f t="shared" si="15"/>
        <v>non</v>
      </c>
      <c r="Z171" s="328" t="str">
        <f t="shared" si="16"/>
        <v/>
      </c>
      <c r="AA171" s="9"/>
      <c r="AB171" s="1"/>
      <c r="AC171" s="190" t="str">
        <f>_xlfn.XLOOKUP(E171&amp;F171&amp;G171&amp;H171&amp;I171&amp;J171&amp;K171&amp;L171&amp;M171&amp;N171&amp;O171&amp;P171,'[2]2.4 wsLookup'!$M$2:$M$96,'[2]2.4 wsLookup'!$N$2:$N$96,"Introuvable")</f>
        <v>Introuvable</v>
      </c>
      <c r="AD171" s="190" t="str">
        <f>_xlfn.XLOOKUP(E171&amp;F171&amp;G171&amp;H171&amp;I171&amp;J171&amp;K171&amp;L171&amp;M171&amp;N171&amp;O171&amp;P171,'[2]2.4 wsLookup'!$M$2:$M$96,'[2]2.4 wsLookup'!$O$2:$O$96,"Introuvable")</f>
        <v>Introuvable</v>
      </c>
      <c r="AE171" s="90" t="e">
        <f t="shared" si="18"/>
        <v>#VALUE!</v>
      </c>
      <c r="AF171" s="206" t="str">
        <f>_xlfn.XLOOKUP(E171&amp;F171&amp;G171&amp;H171&amp;I171&amp;J171&amp;K171&amp;L171&amp;M171&amp;N171&amp;O171&amp;P171,'[2]2.4 wsLookup'!$M$2:$M$96,'[2]2.4 wsLookup'!$Q$2:$Q$96,"Introuvable")</f>
        <v>Introuvable</v>
      </c>
      <c r="AG171" s="91" t="str">
        <f>_xlfn.XLOOKUP(E171&amp;F171&amp;G171&amp;H171&amp;I171&amp;J171&amp;K171&amp;L171&amp;M171&amp;N171&amp;O171&amp;P171,'[2]2.4 wsLookup'!$M$2:$M$96,'[2]2.4 wsLookup'!$P$2:$P$96,"Introuvable")</f>
        <v>Introuvable</v>
      </c>
      <c r="AH171" s="91" t="str">
        <f>_xlfn.XLOOKUP(E171&amp;F171&amp;G171&amp;H171&amp;I171&amp;J171&amp;K171&amp;L171&amp;M171&amp;N171&amp;O171&amp;P171,'[2]2.4 wsLookup'!$M$2:$M$96,'[2]2.4 wsLookup'!$R$2:$R$96,"Introuvable")</f>
        <v>Introuvable</v>
      </c>
      <c r="AI171" s="193" t="str">
        <f>_xlfn.XLOOKUP(E171&amp;F171&amp;G171&amp;H171&amp;I171&amp;J171&amp;K171&amp;L171&amp;M171&amp;N171&amp;O171&amp;P171,'[2]2.4 wsLookup'!$M$2:$M$96,'[2]2.4 wsLookup'!$S$2:$S$96,"Introuvable")</f>
        <v>Introuvable</v>
      </c>
      <c r="AK171" t="str">
        <f t="shared" si="17"/>
        <v>|-|-|-|-|-|-|-|-|-|-|-</v>
      </c>
      <c r="AO171" t="str">
        <f t="shared" si="12"/>
        <v>en localité|non|3|oui|non|sûr|fluide|non|non|non|non|non|faible</v>
      </c>
    </row>
    <row r="172" spans="1:41" ht="39" customHeight="1">
      <c r="A172" s="1"/>
      <c r="B172" s="1"/>
      <c r="C172" s="188" t="s">
        <v>1887</v>
      </c>
      <c r="D172" s="227"/>
      <c r="E172" s="225"/>
      <c r="F172" s="225" t="s">
        <v>256</v>
      </c>
      <c r="G172" s="225" t="s">
        <v>256</v>
      </c>
      <c r="H172" s="225" t="s">
        <v>256</v>
      </c>
      <c r="I172" s="225" t="s">
        <v>256</v>
      </c>
      <c r="J172" s="320" t="s">
        <v>256</v>
      </c>
      <c r="K172" s="224" t="s">
        <v>256</v>
      </c>
      <c r="L172" s="224" t="s">
        <v>256</v>
      </c>
      <c r="M172" s="224" t="s">
        <v>256</v>
      </c>
      <c r="N172" s="224" t="s">
        <v>256</v>
      </c>
      <c r="O172" s="320" t="s">
        <v>256</v>
      </c>
      <c r="P172" s="226" t="s">
        <v>256</v>
      </c>
      <c r="Q172" s="374"/>
      <c r="R172" s="323" t="s">
        <v>1673</v>
      </c>
      <c r="S172" s="324" t="str">
        <f t="shared" si="13"/>
        <v/>
      </c>
      <c r="T172" s="325" t="str">
        <f t="shared" si="14"/>
        <v/>
      </c>
      <c r="U172" s="228" t="s">
        <v>1673</v>
      </c>
      <c r="V172" s="228" t="s">
        <v>1673</v>
      </c>
      <c r="W172" s="228" t="s">
        <v>1673</v>
      </c>
      <c r="X172" s="229" t="s">
        <v>1673</v>
      </c>
      <c r="Y172" s="288" t="str">
        <f t="shared" si="15"/>
        <v>non</v>
      </c>
      <c r="Z172" s="328" t="str">
        <f t="shared" si="16"/>
        <v/>
      </c>
      <c r="AA172" s="9"/>
      <c r="AB172" s="1"/>
      <c r="AC172" s="190" t="str">
        <f>_xlfn.XLOOKUP(E172&amp;F172&amp;G172&amp;H172&amp;I172&amp;J172&amp;K172&amp;L172&amp;M172&amp;N172&amp;O172&amp;P172,'[2]2.4 wsLookup'!$M$2:$M$96,'[2]2.4 wsLookup'!$N$2:$N$96,"Introuvable")</f>
        <v>Introuvable</v>
      </c>
      <c r="AD172" s="190" t="str">
        <f>_xlfn.XLOOKUP(E172&amp;F172&amp;G172&amp;H172&amp;I172&amp;J172&amp;K172&amp;L172&amp;M172&amp;N172&amp;O172&amp;P172,'[2]2.4 wsLookup'!$M$2:$M$96,'[2]2.4 wsLookup'!$O$2:$O$96,"Introuvable")</f>
        <v>Introuvable</v>
      </c>
      <c r="AE172" s="90" t="e">
        <f t="shared" si="18"/>
        <v>#VALUE!</v>
      </c>
      <c r="AF172" s="206" t="str">
        <f>_xlfn.XLOOKUP(E172&amp;F172&amp;G172&amp;H172&amp;I172&amp;J172&amp;K172&amp;L172&amp;M172&amp;N172&amp;O172&amp;P172,'[2]2.4 wsLookup'!$M$2:$M$96,'[2]2.4 wsLookup'!$Q$2:$Q$96,"Introuvable")</f>
        <v>Introuvable</v>
      </c>
      <c r="AG172" s="91" t="str">
        <f>_xlfn.XLOOKUP(E172&amp;F172&amp;G172&amp;H172&amp;I172&amp;J172&amp;K172&amp;L172&amp;M172&amp;N172&amp;O172&amp;P172,'[2]2.4 wsLookup'!$M$2:$M$96,'[2]2.4 wsLookup'!$P$2:$P$96,"Introuvable")</f>
        <v>Introuvable</v>
      </c>
      <c r="AH172" s="91" t="str">
        <f>_xlfn.XLOOKUP(E172&amp;F172&amp;G172&amp;H172&amp;I172&amp;J172&amp;K172&amp;L172&amp;M172&amp;N172&amp;O172&amp;P172,'[2]2.4 wsLookup'!$M$2:$M$96,'[2]2.4 wsLookup'!$R$2:$R$96,"Introuvable")</f>
        <v>Introuvable</v>
      </c>
      <c r="AI172" s="193" t="str">
        <f>_xlfn.XLOOKUP(E172&amp;F172&amp;G172&amp;H172&amp;I172&amp;J172&amp;K172&amp;L172&amp;M172&amp;N172&amp;O172&amp;P172,'[2]2.4 wsLookup'!$M$2:$M$96,'[2]2.4 wsLookup'!$S$2:$S$96,"Introuvable")</f>
        <v>Introuvable</v>
      </c>
      <c r="AK172" t="str">
        <f t="shared" si="17"/>
        <v>|-|-|-|-|-|-|-|-|-|-|-</v>
      </c>
      <c r="AO172" t="str">
        <f t="shared" si="12"/>
        <v>en localité|non|3|non|non|sûr|fluide|non|non|non|non|non|faible</v>
      </c>
    </row>
    <row r="173" spans="1:41" ht="39" customHeight="1">
      <c r="A173" s="1"/>
      <c r="B173" s="1"/>
      <c r="C173" s="188" t="s">
        <v>1888</v>
      </c>
      <c r="D173" s="227"/>
      <c r="E173" s="225"/>
      <c r="F173" s="225" t="s">
        <v>256</v>
      </c>
      <c r="G173" s="225" t="s">
        <v>256</v>
      </c>
      <c r="H173" s="225" t="s">
        <v>256</v>
      </c>
      <c r="I173" s="225" t="s">
        <v>256</v>
      </c>
      <c r="J173" s="320" t="s">
        <v>256</v>
      </c>
      <c r="K173" s="224" t="s">
        <v>256</v>
      </c>
      <c r="L173" s="224" t="s">
        <v>256</v>
      </c>
      <c r="M173" s="224" t="s">
        <v>256</v>
      </c>
      <c r="N173" s="224" t="s">
        <v>256</v>
      </c>
      <c r="O173" s="320" t="s">
        <v>256</v>
      </c>
      <c r="P173" s="226" t="s">
        <v>256</v>
      </c>
      <c r="Q173" s="374"/>
      <c r="R173" s="323" t="s">
        <v>1673</v>
      </c>
      <c r="S173" s="324" t="str">
        <f t="shared" si="13"/>
        <v/>
      </c>
      <c r="T173" s="325" t="str">
        <f t="shared" si="14"/>
        <v/>
      </c>
      <c r="U173" s="228" t="s">
        <v>1673</v>
      </c>
      <c r="V173" s="228" t="s">
        <v>1673</v>
      </c>
      <c r="W173" s="228" t="s">
        <v>1673</v>
      </c>
      <c r="X173" s="229" t="s">
        <v>1673</v>
      </c>
      <c r="Y173" s="288" t="str">
        <f t="shared" si="15"/>
        <v>non</v>
      </c>
      <c r="Z173" s="328" t="str">
        <f t="shared" si="16"/>
        <v/>
      </c>
      <c r="AA173" s="9"/>
      <c r="AB173" s="1"/>
      <c r="AC173" s="190" t="str">
        <f>_xlfn.XLOOKUP(E173&amp;F173&amp;G173&amp;H173&amp;I173&amp;J173&amp;K173&amp;L173&amp;M173&amp;N173&amp;O173&amp;P173,'[2]2.4 wsLookup'!$M$2:$M$96,'[2]2.4 wsLookup'!$N$2:$N$96,"Introuvable")</f>
        <v>Introuvable</v>
      </c>
      <c r="AD173" s="190" t="str">
        <f>_xlfn.XLOOKUP(E173&amp;F173&amp;G173&amp;H173&amp;I173&amp;J173&amp;K173&amp;L173&amp;M173&amp;N173&amp;O173&amp;P173,'[2]2.4 wsLookup'!$M$2:$M$96,'[2]2.4 wsLookup'!$O$2:$O$96,"Introuvable")</f>
        <v>Introuvable</v>
      </c>
      <c r="AE173" s="90" t="e">
        <f t="shared" si="18"/>
        <v>#VALUE!</v>
      </c>
      <c r="AF173" s="206" t="str">
        <f>_xlfn.XLOOKUP(E173&amp;F173&amp;G173&amp;H173&amp;I173&amp;J173&amp;K173&amp;L173&amp;M173&amp;N173&amp;O173&amp;P173,'[2]2.4 wsLookup'!$M$2:$M$96,'[2]2.4 wsLookup'!$Q$2:$Q$96,"Introuvable")</f>
        <v>Introuvable</v>
      </c>
      <c r="AG173" s="91" t="str">
        <f>_xlfn.XLOOKUP(E173&amp;F173&amp;G173&amp;H173&amp;I173&amp;J173&amp;K173&amp;L173&amp;M173&amp;N173&amp;O173&amp;P173,'[2]2.4 wsLookup'!$M$2:$M$96,'[2]2.4 wsLookup'!$P$2:$P$96,"Introuvable")</f>
        <v>Introuvable</v>
      </c>
      <c r="AH173" s="91" t="str">
        <f>_xlfn.XLOOKUP(E173&amp;F173&amp;G173&amp;H173&amp;I173&amp;J173&amp;K173&amp;L173&amp;M173&amp;N173&amp;O173&amp;P173,'[2]2.4 wsLookup'!$M$2:$M$96,'[2]2.4 wsLookup'!$R$2:$R$96,"Introuvable")</f>
        <v>Introuvable</v>
      </c>
      <c r="AI173" s="193" t="str">
        <f>_xlfn.XLOOKUP(E173&amp;F173&amp;G173&amp;H173&amp;I173&amp;J173&amp;K173&amp;L173&amp;M173&amp;N173&amp;O173&amp;P173,'[2]2.4 wsLookup'!$M$2:$M$96,'[2]2.4 wsLookup'!$S$2:$S$96,"Introuvable")</f>
        <v>Introuvable</v>
      </c>
      <c r="AK173" t="str">
        <f t="shared" si="17"/>
        <v>|-|-|-|-|-|-|-|-|-|-|-</v>
      </c>
      <c r="AO173" t="str">
        <f t="shared" si="12"/>
        <v>en localité|non|3|non|non|sûr|fluide|non|non|non|non|non|faible</v>
      </c>
    </row>
    <row r="174" spans="1:41" ht="39" customHeight="1">
      <c r="A174" s="1"/>
      <c r="B174" s="1"/>
      <c r="C174" s="188" t="s">
        <v>1889</v>
      </c>
      <c r="D174" s="227"/>
      <c r="E174" s="225"/>
      <c r="F174" s="225" t="s">
        <v>256</v>
      </c>
      <c r="G174" s="225" t="s">
        <v>256</v>
      </c>
      <c r="H174" s="225" t="s">
        <v>256</v>
      </c>
      <c r="I174" s="225" t="s">
        <v>256</v>
      </c>
      <c r="J174" s="320" t="s">
        <v>256</v>
      </c>
      <c r="K174" s="224" t="s">
        <v>256</v>
      </c>
      <c r="L174" s="224" t="s">
        <v>256</v>
      </c>
      <c r="M174" s="224" t="s">
        <v>256</v>
      </c>
      <c r="N174" s="224" t="s">
        <v>256</v>
      </c>
      <c r="O174" s="320" t="s">
        <v>256</v>
      </c>
      <c r="P174" s="226" t="s">
        <v>256</v>
      </c>
      <c r="Q174" s="374"/>
      <c r="R174" s="323" t="s">
        <v>1673</v>
      </c>
      <c r="S174" s="324" t="str">
        <f t="shared" si="13"/>
        <v/>
      </c>
      <c r="T174" s="325" t="str">
        <f t="shared" si="14"/>
        <v/>
      </c>
      <c r="U174" s="228" t="s">
        <v>1673</v>
      </c>
      <c r="V174" s="228" t="s">
        <v>1673</v>
      </c>
      <c r="W174" s="228" t="s">
        <v>1673</v>
      </c>
      <c r="X174" s="229" t="s">
        <v>1673</v>
      </c>
      <c r="Y174" s="288" t="str">
        <f t="shared" si="15"/>
        <v>non</v>
      </c>
      <c r="Z174" s="328" t="str">
        <f t="shared" si="16"/>
        <v/>
      </c>
      <c r="AA174" s="9"/>
      <c r="AB174" s="1"/>
      <c r="AC174" s="190" t="str">
        <f>_xlfn.XLOOKUP(E174&amp;F174&amp;G174&amp;H174&amp;I174&amp;J174&amp;K174&amp;L174&amp;M174&amp;N174&amp;O174&amp;P174,'[2]2.4 wsLookup'!$M$2:$M$96,'[2]2.4 wsLookup'!$N$2:$N$96,"Introuvable")</f>
        <v>Introuvable</v>
      </c>
      <c r="AD174" s="190" t="str">
        <f>_xlfn.XLOOKUP(E174&amp;F174&amp;G174&amp;H174&amp;I174&amp;J174&amp;K174&amp;L174&amp;M174&amp;N174&amp;O174&amp;P174,'[2]2.4 wsLookup'!$M$2:$M$96,'[2]2.4 wsLookup'!$O$2:$O$96,"Introuvable")</f>
        <v>Introuvable</v>
      </c>
      <c r="AE174" s="90" t="e">
        <f t="shared" si="18"/>
        <v>#VALUE!</v>
      </c>
      <c r="AF174" s="206" t="str">
        <f>_xlfn.XLOOKUP(E174&amp;F174&amp;G174&amp;H174&amp;I174&amp;J174&amp;K174&amp;L174&amp;M174&amp;N174&amp;O174&amp;P174,'[2]2.4 wsLookup'!$M$2:$M$96,'[2]2.4 wsLookup'!$Q$2:$Q$96,"Introuvable")</f>
        <v>Introuvable</v>
      </c>
      <c r="AG174" s="91" t="str">
        <f>_xlfn.XLOOKUP(E174&amp;F174&amp;G174&amp;H174&amp;I174&amp;J174&amp;K174&amp;L174&amp;M174&amp;N174&amp;O174&amp;P174,'[2]2.4 wsLookup'!$M$2:$M$96,'[2]2.4 wsLookup'!$P$2:$P$96,"Introuvable")</f>
        <v>Introuvable</v>
      </c>
      <c r="AH174" s="91" t="str">
        <f>_xlfn.XLOOKUP(E174&amp;F174&amp;G174&amp;H174&amp;I174&amp;J174&amp;K174&amp;L174&amp;M174&amp;N174&amp;O174&amp;P174,'[2]2.4 wsLookup'!$M$2:$M$96,'[2]2.4 wsLookup'!$R$2:$R$96,"Introuvable")</f>
        <v>Introuvable</v>
      </c>
      <c r="AI174" s="193" t="str">
        <f>_xlfn.XLOOKUP(E174&amp;F174&amp;G174&amp;H174&amp;I174&amp;J174&amp;K174&amp;L174&amp;M174&amp;N174&amp;O174&amp;P174,'[2]2.4 wsLookup'!$M$2:$M$96,'[2]2.4 wsLookup'!$S$2:$S$96,"Introuvable")</f>
        <v>Introuvable</v>
      </c>
      <c r="AK174" t="str">
        <f t="shared" si="17"/>
        <v>|-|-|-|-|-|-|-|-|-|-|-</v>
      </c>
      <c r="AO174" t="str">
        <f t="shared" si="12"/>
        <v>en localité|non|3|non|non|sûr|fluide|non|non|non|non|non|faible</v>
      </c>
    </row>
    <row r="175" spans="1:41" ht="39" customHeight="1">
      <c r="A175" s="1"/>
      <c r="B175" s="1"/>
      <c r="C175" s="188" t="s">
        <v>1890</v>
      </c>
      <c r="D175" s="227"/>
      <c r="E175" s="225"/>
      <c r="F175" s="225" t="s">
        <v>256</v>
      </c>
      <c r="G175" s="225" t="s">
        <v>256</v>
      </c>
      <c r="H175" s="225" t="s">
        <v>256</v>
      </c>
      <c r="I175" s="225" t="s">
        <v>256</v>
      </c>
      <c r="J175" s="320" t="s">
        <v>256</v>
      </c>
      <c r="K175" s="224" t="s">
        <v>256</v>
      </c>
      <c r="L175" s="224" t="s">
        <v>256</v>
      </c>
      <c r="M175" s="224" t="s">
        <v>256</v>
      </c>
      <c r="N175" s="224" t="s">
        <v>256</v>
      </c>
      <c r="O175" s="320" t="s">
        <v>256</v>
      </c>
      <c r="P175" s="226" t="s">
        <v>256</v>
      </c>
      <c r="Q175" s="374"/>
      <c r="R175" s="323" t="s">
        <v>1673</v>
      </c>
      <c r="S175" s="324" t="str">
        <f t="shared" si="13"/>
        <v/>
      </c>
      <c r="T175" s="325" t="str">
        <f t="shared" si="14"/>
        <v/>
      </c>
      <c r="U175" s="228" t="s">
        <v>1673</v>
      </c>
      <c r="V175" s="228" t="s">
        <v>1673</v>
      </c>
      <c r="W175" s="228" t="s">
        <v>1673</v>
      </c>
      <c r="X175" s="229" t="s">
        <v>1673</v>
      </c>
      <c r="Y175" s="288" t="str">
        <f t="shared" si="15"/>
        <v>non</v>
      </c>
      <c r="Z175" s="328" t="str">
        <f t="shared" si="16"/>
        <v/>
      </c>
      <c r="AA175" s="9"/>
      <c r="AB175" s="1"/>
      <c r="AC175" s="190" t="str">
        <f>_xlfn.XLOOKUP(E175&amp;F175&amp;G175&amp;H175&amp;I175&amp;J175&amp;K175&amp;L175&amp;M175&amp;N175&amp;O175&amp;P175,'[2]2.4 wsLookup'!$M$2:$M$96,'[2]2.4 wsLookup'!$N$2:$N$96,"Introuvable")</f>
        <v>Introuvable</v>
      </c>
      <c r="AD175" s="190" t="str">
        <f>_xlfn.XLOOKUP(E175&amp;F175&amp;G175&amp;H175&amp;I175&amp;J175&amp;K175&amp;L175&amp;M175&amp;N175&amp;O175&amp;P175,'[2]2.4 wsLookup'!$M$2:$M$96,'[2]2.4 wsLookup'!$O$2:$O$96,"Introuvable")</f>
        <v>Introuvable</v>
      </c>
      <c r="AE175" s="90" t="e">
        <f t="shared" si="18"/>
        <v>#VALUE!</v>
      </c>
      <c r="AF175" s="206" t="str">
        <f>_xlfn.XLOOKUP(E175&amp;F175&amp;G175&amp;H175&amp;I175&amp;J175&amp;K175&amp;L175&amp;M175&amp;N175&amp;O175&amp;P175,'[2]2.4 wsLookup'!$M$2:$M$96,'[2]2.4 wsLookup'!$Q$2:$Q$96,"Introuvable")</f>
        <v>Introuvable</v>
      </c>
      <c r="AG175" s="91" t="str">
        <f>_xlfn.XLOOKUP(E175&amp;F175&amp;G175&amp;H175&amp;I175&amp;J175&amp;K175&amp;L175&amp;M175&amp;N175&amp;O175&amp;P175,'[2]2.4 wsLookup'!$M$2:$M$96,'[2]2.4 wsLookup'!$P$2:$P$96,"Introuvable")</f>
        <v>Introuvable</v>
      </c>
      <c r="AH175" s="91" t="str">
        <f>_xlfn.XLOOKUP(E175&amp;F175&amp;G175&amp;H175&amp;I175&amp;J175&amp;K175&amp;L175&amp;M175&amp;N175&amp;O175&amp;P175,'[2]2.4 wsLookup'!$M$2:$M$96,'[2]2.4 wsLookup'!$R$2:$R$96,"Introuvable")</f>
        <v>Introuvable</v>
      </c>
      <c r="AI175" s="193" t="str">
        <f>_xlfn.XLOOKUP(E175&amp;F175&amp;G175&amp;H175&amp;I175&amp;J175&amp;K175&amp;L175&amp;M175&amp;N175&amp;O175&amp;P175,'[2]2.4 wsLookup'!$M$2:$M$96,'[2]2.4 wsLookup'!$S$2:$S$96,"Introuvable")</f>
        <v>Introuvable</v>
      </c>
      <c r="AK175" t="str">
        <f t="shared" si="17"/>
        <v>|-|-|-|-|-|-|-|-|-|-|-</v>
      </c>
      <c r="AO175" t="str">
        <f t="shared" si="12"/>
        <v>en localité|non|&gt;3|non|non|acceptable|fluide|non|non|non|oui|oui|élevé</v>
      </c>
    </row>
    <row r="176" spans="1:41" ht="39" customHeight="1">
      <c r="A176" s="1"/>
      <c r="B176" s="1"/>
      <c r="C176" s="188" t="s">
        <v>1891</v>
      </c>
      <c r="D176" s="227"/>
      <c r="E176" s="225"/>
      <c r="F176" s="225" t="s">
        <v>256</v>
      </c>
      <c r="G176" s="225" t="s">
        <v>256</v>
      </c>
      <c r="H176" s="225" t="s">
        <v>256</v>
      </c>
      <c r="I176" s="225" t="s">
        <v>256</v>
      </c>
      <c r="J176" s="320" t="s">
        <v>256</v>
      </c>
      <c r="K176" s="224" t="s">
        <v>256</v>
      </c>
      <c r="L176" s="224" t="s">
        <v>256</v>
      </c>
      <c r="M176" s="224" t="s">
        <v>256</v>
      </c>
      <c r="N176" s="224" t="s">
        <v>256</v>
      </c>
      <c r="O176" s="320" t="s">
        <v>256</v>
      </c>
      <c r="P176" s="226" t="s">
        <v>256</v>
      </c>
      <c r="Q176" s="374"/>
      <c r="R176" s="323" t="s">
        <v>1673</v>
      </c>
      <c r="S176" s="324" t="str">
        <f t="shared" si="13"/>
        <v/>
      </c>
      <c r="T176" s="325" t="str">
        <f t="shared" si="14"/>
        <v/>
      </c>
      <c r="U176" s="228" t="s">
        <v>1673</v>
      </c>
      <c r="V176" s="228" t="s">
        <v>1673</v>
      </c>
      <c r="W176" s="228" t="s">
        <v>1673</v>
      </c>
      <c r="X176" s="229" t="s">
        <v>1673</v>
      </c>
      <c r="Y176" s="288" t="str">
        <f t="shared" si="15"/>
        <v>non</v>
      </c>
      <c r="Z176" s="328" t="str">
        <f t="shared" si="16"/>
        <v/>
      </c>
      <c r="AA176" s="9"/>
      <c r="AB176" s="1"/>
      <c r="AC176" s="190" t="str">
        <f>_xlfn.XLOOKUP(E176&amp;F176&amp;G176&amp;H176&amp;I176&amp;J176&amp;K176&amp;L176&amp;M176&amp;N176&amp;O176&amp;P176,'[2]2.4 wsLookup'!$M$2:$M$96,'[2]2.4 wsLookup'!$N$2:$N$96,"Introuvable")</f>
        <v>Introuvable</v>
      </c>
      <c r="AD176" s="190" t="str">
        <f>_xlfn.XLOOKUP(E176&amp;F176&amp;G176&amp;H176&amp;I176&amp;J176&amp;K176&amp;L176&amp;M176&amp;N176&amp;O176&amp;P176,'[2]2.4 wsLookup'!$M$2:$M$96,'[2]2.4 wsLookup'!$O$2:$O$96,"Introuvable")</f>
        <v>Introuvable</v>
      </c>
      <c r="AE176" s="90" t="e">
        <f t="shared" si="18"/>
        <v>#VALUE!</v>
      </c>
      <c r="AF176" s="206" t="str">
        <f>_xlfn.XLOOKUP(E176&amp;F176&amp;G176&amp;H176&amp;I176&amp;J176&amp;K176&amp;L176&amp;M176&amp;N176&amp;O176&amp;P176,'[2]2.4 wsLookup'!$M$2:$M$96,'[2]2.4 wsLookup'!$Q$2:$Q$96,"Introuvable")</f>
        <v>Introuvable</v>
      </c>
      <c r="AG176" s="91" t="str">
        <f>_xlfn.XLOOKUP(E176&amp;F176&amp;G176&amp;H176&amp;I176&amp;J176&amp;K176&amp;L176&amp;M176&amp;N176&amp;O176&amp;P176,'[2]2.4 wsLookup'!$M$2:$M$96,'[2]2.4 wsLookup'!$P$2:$P$96,"Introuvable")</f>
        <v>Introuvable</v>
      </c>
      <c r="AH176" s="91" t="str">
        <f>_xlfn.XLOOKUP(E176&amp;F176&amp;G176&amp;H176&amp;I176&amp;J176&amp;K176&amp;L176&amp;M176&amp;N176&amp;O176&amp;P176,'[2]2.4 wsLookup'!$M$2:$M$96,'[2]2.4 wsLookup'!$R$2:$R$96,"Introuvable")</f>
        <v>Introuvable</v>
      </c>
      <c r="AI176" s="193" t="str">
        <f>_xlfn.XLOOKUP(E176&amp;F176&amp;G176&amp;H176&amp;I176&amp;J176&amp;K176&amp;L176&amp;M176&amp;N176&amp;O176&amp;P176,'[2]2.4 wsLookup'!$M$2:$M$96,'[2]2.4 wsLookup'!$S$2:$S$96,"Introuvable")</f>
        <v>Introuvable</v>
      </c>
      <c r="AK176" t="str">
        <f t="shared" si="17"/>
        <v>|-|-|-|-|-|-|-|-|-|-|-</v>
      </c>
      <c r="AO176" t="str">
        <f t="shared" si="12"/>
        <v>en localité|non|&gt;3|non|non|acceptable|fluide|non|non|non|non|non|moyen</v>
      </c>
    </row>
    <row r="177" spans="1:41" ht="39" customHeight="1">
      <c r="A177" s="1"/>
      <c r="B177" s="1"/>
      <c r="C177" s="188" t="s">
        <v>1892</v>
      </c>
      <c r="D177" s="227"/>
      <c r="E177" s="225"/>
      <c r="F177" s="225" t="s">
        <v>256</v>
      </c>
      <c r="G177" s="225" t="s">
        <v>256</v>
      </c>
      <c r="H177" s="225" t="s">
        <v>256</v>
      </c>
      <c r="I177" s="225" t="s">
        <v>256</v>
      </c>
      <c r="J177" s="320" t="s">
        <v>256</v>
      </c>
      <c r="K177" s="224" t="s">
        <v>256</v>
      </c>
      <c r="L177" s="224" t="s">
        <v>256</v>
      </c>
      <c r="M177" s="224" t="s">
        <v>256</v>
      </c>
      <c r="N177" s="224" t="s">
        <v>256</v>
      </c>
      <c r="O177" s="320" t="s">
        <v>256</v>
      </c>
      <c r="P177" s="226" t="s">
        <v>256</v>
      </c>
      <c r="Q177" s="374"/>
      <c r="R177" s="323" t="s">
        <v>1673</v>
      </c>
      <c r="S177" s="324" t="str">
        <f t="shared" si="13"/>
        <v/>
      </c>
      <c r="T177" s="325" t="str">
        <f t="shared" si="14"/>
        <v/>
      </c>
      <c r="U177" s="228" t="s">
        <v>1673</v>
      </c>
      <c r="V177" s="228" t="s">
        <v>1673</v>
      </c>
      <c r="W177" s="228" t="s">
        <v>1673</v>
      </c>
      <c r="X177" s="229" t="s">
        <v>1673</v>
      </c>
      <c r="Y177" s="288" t="str">
        <f t="shared" si="15"/>
        <v>non</v>
      </c>
      <c r="Z177" s="328" t="str">
        <f t="shared" si="16"/>
        <v/>
      </c>
      <c r="AA177" s="9"/>
      <c r="AB177" s="1"/>
      <c r="AC177" s="190" t="str">
        <f>_xlfn.XLOOKUP(E177&amp;F177&amp;G177&amp;H177&amp;I177&amp;J177&amp;K177&amp;L177&amp;M177&amp;N177&amp;O177&amp;P177,'[2]2.4 wsLookup'!$M$2:$M$96,'[2]2.4 wsLookup'!$N$2:$N$96,"Introuvable")</f>
        <v>Introuvable</v>
      </c>
      <c r="AD177" s="190" t="str">
        <f>_xlfn.XLOOKUP(E177&amp;F177&amp;G177&amp;H177&amp;I177&amp;J177&amp;K177&amp;L177&amp;M177&amp;N177&amp;O177&amp;P177,'[2]2.4 wsLookup'!$M$2:$M$96,'[2]2.4 wsLookup'!$O$2:$O$96,"Introuvable")</f>
        <v>Introuvable</v>
      </c>
      <c r="AE177" s="90" t="e">
        <f t="shared" si="18"/>
        <v>#VALUE!</v>
      </c>
      <c r="AF177" s="206" t="str">
        <f>_xlfn.XLOOKUP(E177&amp;F177&amp;G177&amp;H177&amp;I177&amp;J177&amp;K177&amp;L177&amp;M177&amp;N177&amp;O177&amp;P177,'[2]2.4 wsLookup'!$M$2:$M$96,'[2]2.4 wsLookup'!$Q$2:$Q$96,"Introuvable")</f>
        <v>Introuvable</v>
      </c>
      <c r="AG177" s="91" t="str">
        <f>_xlfn.XLOOKUP(E177&amp;F177&amp;G177&amp;H177&amp;I177&amp;J177&amp;K177&amp;L177&amp;M177&amp;N177&amp;O177&amp;P177,'[2]2.4 wsLookup'!$M$2:$M$96,'[2]2.4 wsLookup'!$P$2:$P$96,"Introuvable")</f>
        <v>Introuvable</v>
      </c>
      <c r="AH177" s="91" t="str">
        <f>_xlfn.XLOOKUP(E177&amp;F177&amp;G177&amp;H177&amp;I177&amp;J177&amp;K177&amp;L177&amp;M177&amp;N177&amp;O177&amp;P177,'[2]2.4 wsLookup'!$M$2:$M$96,'[2]2.4 wsLookup'!$R$2:$R$96,"Introuvable")</f>
        <v>Introuvable</v>
      </c>
      <c r="AI177" s="193" t="str">
        <f>_xlfn.XLOOKUP(E177&amp;F177&amp;G177&amp;H177&amp;I177&amp;J177&amp;K177&amp;L177&amp;M177&amp;N177&amp;O177&amp;P177,'[2]2.4 wsLookup'!$M$2:$M$96,'[2]2.4 wsLookup'!$S$2:$S$96,"Introuvable")</f>
        <v>Introuvable</v>
      </c>
      <c r="AK177" t="str">
        <f t="shared" si="17"/>
        <v>|-|-|-|-|-|-|-|-|-|-|-</v>
      </c>
      <c r="AO177" t="str">
        <f t="shared" si="12"/>
        <v>en localité|non|&gt;3|non|non|acceptable|fluide|non|non|non|non|non|moyen</v>
      </c>
    </row>
    <row r="178" spans="1:41" ht="39" customHeight="1">
      <c r="A178" s="1"/>
      <c r="B178" s="1"/>
      <c r="C178" s="188" t="s">
        <v>1893</v>
      </c>
      <c r="D178" s="227"/>
      <c r="E178" s="225"/>
      <c r="F178" s="225" t="s">
        <v>256</v>
      </c>
      <c r="G178" s="225" t="s">
        <v>256</v>
      </c>
      <c r="H178" s="225" t="s">
        <v>256</v>
      </c>
      <c r="I178" s="225" t="s">
        <v>256</v>
      </c>
      <c r="J178" s="320" t="s">
        <v>256</v>
      </c>
      <c r="K178" s="224" t="s">
        <v>256</v>
      </c>
      <c r="L178" s="224" t="s">
        <v>256</v>
      </c>
      <c r="M178" s="224" t="s">
        <v>256</v>
      </c>
      <c r="N178" s="224" t="s">
        <v>256</v>
      </c>
      <c r="O178" s="320" t="s">
        <v>256</v>
      </c>
      <c r="P178" s="226" t="s">
        <v>256</v>
      </c>
      <c r="Q178" s="374"/>
      <c r="R178" s="323" t="s">
        <v>1673</v>
      </c>
      <c r="S178" s="324" t="str">
        <f t="shared" si="13"/>
        <v/>
      </c>
      <c r="T178" s="325" t="str">
        <f t="shared" si="14"/>
        <v/>
      </c>
      <c r="U178" s="228" t="s">
        <v>1673</v>
      </c>
      <c r="V178" s="228" t="s">
        <v>1673</v>
      </c>
      <c r="W178" s="228" t="s">
        <v>1673</v>
      </c>
      <c r="X178" s="229" t="s">
        <v>1673</v>
      </c>
      <c r="Y178" s="288" t="str">
        <f t="shared" si="15"/>
        <v>non</v>
      </c>
      <c r="Z178" s="328" t="str">
        <f t="shared" si="16"/>
        <v/>
      </c>
      <c r="AA178" s="9"/>
      <c r="AB178" s="1"/>
      <c r="AC178" s="190" t="str">
        <f>_xlfn.XLOOKUP(E178&amp;F178&amp;G178&amp;H178&amp;I178&amp;J178&amp;K178&amp;L178&amp;M178&amp;N178&amp;O178&amp;P178,'[2]2.4 wsLookup'!$M$2:$M$96,'[2]2.4 wsLookup'!$N$2:$N$96,"Introuvable")</f>
        <v>Introuvable</v>
      </c>
      <c r="AD178" s="190" t="str">
        <f>_xlfn.XLOOKUP(E178&amp;F178&amp;G178&amp;H178&amp;I178&amp;J178&amp;K178&amp;L178&amp;M178&amp;N178&amp;O178&amp;P178,'[2]2.4 wsLookup'!$M$2:$M$96,'[2]2.4 wsLookup'!$O$2:$O$96,"Introuvable")</f>
        <v>Introuvable</v>
      </c>
      <c r="AE178" s="90" t="e">
        <f t="shared" si="18"/>
        <v>#VALUE!</v>
      </c>
      <c r="AF178" s="206" t="str">
        <f>_xlfn.XLOOKUP(E178&amp;F178&amp;G178&amp;H178&amp;I178&amp;J178&amp;K178&amp;L178&amp;M178&amp;N178&amp;O178&amp;P178,'[2]2.4 wsLookup'!$M$2:$M$96,'[2]2.4 wsLookup'!$Q$2:$Q$96,"Introuvable")</f>
        <v>Introuvable</v>
      </c>
      <c r="AG178" s="91" t="str">
        <f>_xlfn.XLOOKUP(E178&amp;F178&amp;G178&amp;H178&amp;I178&amp;J178&amp;K178&amp;L178&amp;M178&amp;N178&amp;O178&amp;P178,'[2]2.4 wsLookup'!$M$2:$M$96,'[2]2.4 wsLookup'!$P$2:$P$96,"Introuvable")</f>
        <v>Introuvable</v>
      </c>
      <c r="AH178" s="91" t="str">
        <f>_xlfn.XLOOKUP(E178&amp;F178&amp;G178&amp;H178&amp;I178&amp;J178&amp;K178&amp;L178&amp;M178&amp;N178&amp;O178&amp;P178,'[2]2.4 wsLookup'!$M$2:$M$96,'[2]2.4 wsLookup'!$R$2:$R$96,"Introuvable")</f>
        <v>Introuvable</v>
      </c>
      <c r="AI178" s="193" t="str">
        <f>_xlfn.XLOOKUP(E178&amp;F178&amp;G178&amp;H178&amp;I178&amp;J178&amp;K178&amp;L178&amp;M178&amp;N178&amp;O178&amp;P178,'[2]2.4 wsLookup'!$M$2:$M$96,'[2]2.4 wsLookup'!$S$2:$S$96,"Introuvable")</f>
        <v>Introuvable</v>
      </c>
      <c r="AK178" t="str">
        <f t="shared" si="17"/>
        <v>|-|-|-|-|-|-|-|-|-|-|-</v>
      </c>
      <c r="AO178" t="str">
        <f t="shared" si="12"/>
        <v>en localité|non|3|non|non|sûr|fluide|non|non|non|non|non|faible</v>
      </c>
    </row>
    <row r="179" spans="1:41" ht="39" customHeight="1">
      <c r="A179" s="1"/>
      <c r="B179" s="1"/>
      <c r="C179" s="188" t="s">
        <v>1894</v>
      </c>
      <c r="D179" s="227"/>
      <c r="E179" s="225"/>
      <c r="F179" s="225" t="s">
        <v>256</v>
      </c>
      <c r="G179" s="225" t="s">
        <v>256</v>
      </c>
      <c r="H179" s="225" t="s">
        <v>256</v>
      </c>
      <c r="I179" s="225" t="s">
        <v>256</v>
      </c>
      <c r="J179" s="320" t="s">
        <v>256</v>
      </c>
      <c r="K179" s="224" t="s">
        <v>256</v>
      </c>
      <c r="L179" s="224" t="s">
        <v>256</v>
      </c>
      <c r="M179" s="224" t="s">
        <v>256</v>
      </c>
      <c r="N179" s="224" t="s">
        <v>256</v>
      </c>
      <c r="O179" s="320" t="s">
        <v>256</v>
      </c>
      <c r="P179" s="226" t="s">
        <v>256</v>
      </c>
      <c r="Q179" s="374"/>
      <c r="R179" s="323" t="s">
        <v>1673</v>
      </c>
      <c r="S179" s="324" t="str">
        <f t="shared" si="13"/>
        <v/>
      </c>
      <c r="T179" s="325" t="str">
        <f t="shared" si="14"/>
        <v/>
      </c>
      <c r="U179" s="228" t="s">
        <v>1673</v>
      </c>
      <c r="V179" s="228" t="s">
        <v>1673</v>
      </c>
      <c r="W179" s="228" t="s">
        <v>1673</v>
      </c>
      <c r="X179" s="229" t="s">
        <v>1673</v>
      </c>
      <c r="Y179" s="288" t="str">
        <f t="shared" si="15"/>
        <v>non</v>
      </c>
      <c r="Z179" s="328" t="str">
        <f t="shared" si="16"/>
        <v/>
      </c>
      <c r="AA179" s="9"/>
      <c r="AB179" s="1"/>
      <c r="AC179" s="190" t="str">
        <f>_xlfn.XLOOKUP(E179&amp;F179&amp;G179&amp;H179&amp;I179&amp;J179&amp;K179&amp;L179&amp;M179&amp;N179&amp;O179&amp;P179,'[2]2.4 wsLookup'!$M$2:$M$96,'[2]2.4 wsLookup'!$N$2:$N$96,"Introuvable")</f>
        <v>Introuvable</v>
      </c>
      <c r="AD179" s="190" t="str">
        <f>_xlfn.XLOOKUP(E179&amp;F179&amp;G179&amp;H179&amp;I179&amp;J179&amp;K179&amp;L179&amp;M179&amp;N179&amp;O179&amp;P179,'[2]2.4 wsLookup'!$M$2:$M$96,'[2]2.4 wsLookup'!$O$2:$O$96,"Introuvable")</f>
        <v>Introuvable</v>
      </c>
      <c r="AE179" s="90" t="e">
        <f t="shared" si="18"/>
        <v>#VALUE!</v>
      </c>
      <c r="AF179" s="206" t="str">
        <f>_xlfn.XLOOKUP(E179&amp;F179&amp;G179&amp;H179&amp;I179&amp;J179&amp;K179&amp;L179&amp;M179&amp;N179&amp;O179&amp;P179,'[2]2.4 wsLookup'!$M$2:$M$96,'[2]2.4 wsLookup'!$Q$2:$Q$96,"Introuvable")</f>
        <v>Introuvable</v>
      </c>
      <c r="AG179" s="91" t="str">
        <f>_xlfn.XLOOKUP(E179&amp;F179&amp;G179&amp;H179&amp;I179&amp;J179&amp;K179&amp;L179&amp;M179&amp;N179&amp;O179&amp;P179,'[2]2.4 wsLookup'!$M$2:$M$96,'[2]2.4 wsLookup'!$P$2:$P$96,"Introuvable")</f>
        <v>Introuvable</v>
      </c>
      <c r="AH179" s="91" t="str">
        <f>_xlfn.XLOOKUP(E179&amp;F179&amp;G179&amp;H179&amp;I179&amp;J179&amp;K179&amp;L179&amp;M179&amp;N179&amp;O179&amp;P179,'[2]2.4 wsLookup'!$M$2:$M$96,'[2]2.4 wsLookup'!$R$2:$R$96,"Introuvable")</f>
        <v>Introuvable</v>
      </c>
      <c r="AI179" s="193" t="str">
        <f>_xlfn.XLOOKUP(E179&amp;F179&amp;G179&amp;H179&amp;I179&amp;J179&amp;K179&amp;L179&amp;M179&amp;N179&amp;O179&amp;P179,'[2]2.4 wsLookup'!$M$2:$M$96,'[2]2.4 wsLookup'!$S$2:$S$96,"Introuvable")</f>
        <v>Introuvable</v>
      </c>
      <c r="AK179" t="str">
        <f t="shared" si="17"/>
        <v>|-|-|-|-|-|-|-|-|-|-|-</v>
      </c>
      <c r="AO179" t="str">
        <f t="shared" si="12"/>
        <v>en localité|non|3|non|non|sûr|fluide|non|non|non|non|non|faible</v>
      </c>
    </row>
    <row r="180" spans="1:41" ht="39" customHeight="1">
      <c r="A180" s="1"/>
      <c r="B180" s="1"/>
      <c r="C180" s="188" t="s">
        <v>1895</v>
      </c>
      <c r="D180" s="227"/>
      <c r="E180" s="225"/>
      <c r="F180" s="225" t="s">
        <v>256</v>
      </c>
      <c r="G180" s="225" t="s">
        <v>256</v>
      </c>
      <c r="H180" s="225" t="s">
        <v>256</v>
      </c>
      <c r="I180" s="225" t="s">
        <v>256</v>
      </c>
      <c r="J180" s="320" t="s">
        <v>256</v>
      </c>
      <c r="K180" s="224" t="s">
        <v>256</v>
      </c>
      <c r="L180" s="224" t="s">
        <v>256</v>
      </c>
      <c r="M180" s="224" t="s">
        <v>256</v>
      </c>
      <c r="N180" s="224" t="s">
        <v>256</v>
      </c>
      <c r="O180" s="320" t="s">
        <v>256</v>
      </c>
      <c r="P180" s="226" t="s">
        <v>256</v>
      </c>
      <c r="Q180" s="374"/>
      <c r="R180" s="323" t="s">
        <v>1673</v>
      </c>
      <c r="S180" s="324" t="str">
        <f t="shared" si="13"/>
        <v/>
      </c>
      <c r="T180" s="325" t="str">
        <f t="shared" si="14"/>
        <v/>
      </c>
      <c r="U180" s="228" t="s">
        <v>1673</v>
      </c>
      <c r="V180" s="228" t="s">
        <v>1673</v>
      </c>
      <c r="W180" s="228" t="s">
        <v>1673</v>
      </c>
      <c r="X180" s="229" t="s">
        <v>1673</v>
      </c>
      <c r="Y180" s="288" t="str">
        <f t="shared" si="15"/>
        <v>non</v>
      </c>
      <c r="Z180" s="328" t="str">
        <f t="shared" si="16"/>
        <v/>
      </c>
      <c r="AA180" s="9"/>
      <c r="AB180" s="1"/>
      <c r="AC180" s="190" t="str">
        <f>_xlfn.XLOOKUP(E180&amp;F180&amp;G180&amp;H180&amp;I180&amp;J180&amp;K180&amp;L180&amp;M180&amp;N180&amp;O180&amp;P180,'[2]2.4 wsLookup'!$M$2:$M$96,'[2]2.4 wsLookup'!$N$2:$N$96,"Introuvable")</f>
        <v>Introuvable</v>
      </c>
      <c r="AD180" s="190" t="str">
        <f>_xlfn.XLOOKUP(E180&amp;F180&amp;G180&amp;H180&amp;I180&amp;J180&amp;K180&amp;L180&amp;M180&amp;N180&amp;O180&amp;P180,'[2]2.4 wsLookup'!$M$2:$M$96,'[2]2.4 wsLookup'!$O$2:$O$96,"Introuvable")</f>
        <v>Introuvable</v>
      </c>
      <c r="AE180" s="90" t="e">
        <f t="shared" si="18"/>
        <v>#VALUE!</v>
      </c>
      <c r="AF180" s="206" t="str">
        <f>_xlfn.XLOOKUP(E180&amp;F180&amp;G180&amp;H180&amp;I180&amp;J180&amp;K180&amp;L180&amp;M180&amp;N180&amp;O180&amp;P180,'[2]2.4 wsLookup'!$M$2:$M$96,'[2]2.4 wsLookup'!$Q$2:$Q$96,"Introuvable")</f>
        <v>Introuvable</v>
      </c>
      <c r="AG180" s="91" t="str">
        <f>_xlfn.XLOOKUP(E180&amp;F180&amp;G180&amp;H180&amp;I180&amp;J180&amp;K180&amp;L180&amp;M180&amp;N180&amp;O180&amp;P180,'[2]2.4 wsLookup'!$M$2:$M$96,'[2]2.4 wsLookup'!$P$2:$P$96,"Introuvable")</f>
        <v>Introuvable</v>
      </c>
      <c r="AH180" s="91" t="str">
        <f>_xlfn.XLOOKUP(E180&amp;F180&amp;G180&amp;H180&amp;I180&amp;J180&amp;K180&amp;L180&amp;M180&amp;N180&amp;O180&amp;P180,'[2]2.4 wsLookup'!$M$2:$M$96,'[2]2.4 wsLookup'!$R$2:$R$96,"Introuvable")</f>
        <v>Introuvable</v>
      </c>
      <c r="AI180" s="193" t="str">
        <f>_xlfn.XLOOKUP(E180&amp;F180&amp;G180&amp;H180&amp;I180&amp;J180&amp;K180&amp;L180&amp;M180&amp;N180&amp;O180&amp;P180,'[2]2.4 wsLookup'!$M$2:$M$96,'[2]2.4 wsLookup'!$S$2:$S$96,"Introuvable")</f>
        <v>Introuvable</v>
      </c>
      <c r="AK180" t="str">
        <f t="shared" si="17"/>
        <v>|-|-|-|-|-|-|-|-|-|-|-</v>
      </c>
      <c r="AO180" t="str">
        <f t="shared" si="12"/>
        <v>en localité|non|&gt;3|non|oui|acceptable|acceptable|non|non|non|non|non|moyen</v>
      </c>
    </row>
    <row r="181" spans="1:41" ht="39" customHeight="1">
      <c r="A181" s="1"/>
      <c r="B181" s="1"/>
      <c r="C181" s="188" t="s">
        <v>1896</v>
      </c>
      <c r="D181" s="227"/>
      <c r="E181" s="225"/>
      <c r="F181" s="225" t="s">
        <v>256</v>
      </c>
      <c r="G181" s="225" t="s">
        <v>256</v>
      </c>
      <c r="H181" s="225" t="s">
        <v>256</v>
      </c>
      <c r="I181" s="225" t="s">
        <v>256</v>
      </c>
      <c r="J181" s="320" t="s">
        <v>256</v>
      </c>
      <c r="K181" s="224" t="s">
        <v>256</v>
      </c>
      <c r="L181" s="224" t="s">
        <v>256</v>
      </c>
      <c r="M181" s="224" t="s">
        <v>256</v>
      </c>
      <c r="N181" s="224" t="s">
        <v>256</v>
      </c>
      <c r="O181" s="320" t="s">
        <v>256</v>
      </c>
      <c r="P181" s="226" t="s">
        <v>256</v>
      </c>
      <c r="Q181" s="374"/>
      <c r="R181" s="323" t="s">
        <v>1673</v>
      </c>
      <c r="S181" s="324" t="str">
        <f t="shared" si="13"/>
        <v/>
      </c>
      <c r="T181" s="325" t="str">
        <f t="shared" si="14"/>
        <v/>
      </c>
      <c r="U181" s="228" t="s">
        <v>1673</v>
      </c>
      <c r="V181" s="228" t="s">
        <v>1673</v>
      </c>
      <c r="W181" s="228" t="s">
        <v>1673</v>
      </c>
      <c r="X181" s="229" t="s">
        <v>1673</v>
      </c>
      <c r="Y181" s="288" t="str">
        <f t="shared" si="15"/>
        <v>non</v>
      </c>
      <c r="Z181" s="328" t="str">
        <f t="shared" si="16"/>
        <v/>
      </c>
      <c r="AA181" s="9"/>
      <c r="AB181" s="1"/>
      <c r="AC181" s="190" t="str">
        <f>_xlfn.XLOOKUP(E181&amp;F181&amp;G181&amp;H181&amp;I181&amp;J181&amp;K181&amp;L181&amp;M181&amp;N181&amp;O181&amp;P181,'[2]2.4 wsLookup'!$M$2:$M$96,'[2]2.4 wsLookup'!$N$2:$N$96,"Introuvable")</f>
        <v>Introuvable</v>
      </c>
      <c r="AD181" s="190" t="str">
        <f>_xlfn.XLOOKUP(E181&amp;F181&amp;G181&amp;H181&amp;I181&amp;J181&amp;K181&amp;L181&amp;M181&amp;N181&amp;O181&amp;P181,'[2]2.4 wsLookup'!$M$2:$M$96,'[2]2.4 wsLookup'!$O$2:$O$96,"Introuvable")</f>
        <v>Introuvable</v>
      </c>
      <c r="AE181" s="90" t="e">
        <f t="shared" si="18"/>
        <v>#VALUE!</v>
      </c>
      <c r="AF181" s="206" t="str">
        <f>_xlfn.XLOOKUP(E181&amp;F181&amp;G181&amp;H181&amp;I181&amp;J181&amp;K181&amp;L181&amp;M181&amp;N181&amp;O181&amp;P181,'[2]2.4 wsLookup'!$M$2:$M$96,'[2]2.4 wsLookup'!$Q$2:$Q$96,"Introuvable")</f>
        <v>Introuvable</v>
      </c>
      <c r="AG181" s="91" t="str">
        <f>_xlfn.XLOOKUP(E181&amp;F181&amp;G181&amp;H181&amp;I181&amp;J181&amp;K181&amp;L181&amp;M181&amp;N181&amp;O181&amp;P181,'[2]2.4 wsLookup'!$M$2:$M$96,'[2]2.4 wsLookup'!$P$2:$P$96,"Introuvable")</f>
        <v>Introuvable</v>
      </c>
      <c r="AH181" s="91" t="str">
        <f>_xlfn.XLOOKUP(E181&amp;F181&amp;G181&amp;H181&amp;I181&amp;J181&amp;K181&amp;L181&amp;M181&amp;N181&amp;O181&amp;P181,'[2]2.4 wsLookup'!$M$2:$M$96,'[2]2.4 wsLookup'!$R$2:$R$96,"Introuvable")</f>
        <v>Introuvable</v>
      </c>
      <c r="AI181" s="193" t="str">
        <f>_xlfn.XLOOKUP(E181&amp;F181&amp;G181&amp;H181&amp;I181&amp;J181&amp;K181&amp;L181&amp;M181&amp;N181&amp;O181&amp;P181,'[2]2.4 wsLookup'!$M$2:$M$96,'[2]2.4 wsLookup'!$S$2:$S$96,"Introuvable")</f>
        <v>Introuvable</v>
      </c>
      <c r="AK181" t="str">
        <f t="shared" si="17"/>
        <v>|-|-|-|-|-|-|-|-|-|-|-</v>
      </c>
      <c r="AO181" t="str">
        <f t="shared" si="12"/>
        <v>en localité|non|3|non|oui|sûr|instable|non|non|non|non|non|élevé</v>
      </c>
    </row>
    <row r="182" spans="1:41" ht="39" customHeight="1">
      <c r="A182" s="1"/>
      <c r="B182" s="1"/>
      <c r="C182" s="188" t="s">
        <v>1897</v>
      </c>
      <c r="D182" s="227"/>
      <c r="E182" s="225"/>
      <c r="F182" s="225" t="s">
        <v>256</v>
      </c>
      <c r="G182" s="225" t="s">
        <v>256</v>
      </c>
      <c r="H182" s="225" t="s">
        <v>256</v>
      </c>
      <c r="I182" s="225" t="s">
        <v>256</v>
      </c>
      <c r="J182" s="320" t="s">
        <v>256</v>
      </c>
      <c r="K182" s="224" t="s">
        <v>256</v>
      </c>
      <c r="L182" s="224" t="s">
        <v>256</v>
      </c>
      <c r="M182" s="224" t="s">
        <v>256</v>
      </c>
      <c r="N182" s="224" t="s">
        <v>256</v>
      </c>
      <c r="O182" s="320" t="s">
        <v>256</v>
      </c>
      <c r="P182" s="226" t="s">
        <v>256</v>
      </c>
      <c r="Q182" s="374"/>
      <c r="R182" s="323" t="s">
        <v>1673</v>
      </c>
      <c r="S182" s="324" t="str">
        <f t="shared" si="13"/>
        <v/>
      </c>
      <c r="T182" s="325" t="str">
        <f t="shared" si="14"/>
        <v/>
      </c>
      <c r="U182" s="228" t="s">
        <v>1673</v>
      </c>
      <c r="V182" s="228" t="s">
        <v>1673</v>
      </c>
      <c r="W182" s="228" t="s">
        <v>1673</v>
      </c>
      <c r="X182" s="229" t="s">
        <v>1673</v>
      </c>
      <c r="Y182" s="288" t="str">
        <f t="shared" si="15"/>
        <v>non</v>
      </c>
      <c r="Z182" s="328" t="str">
        <f t="shared" si="16"/>
        <v/>
      </c>
      <c r="AA182" s="9"/>
      <c r="AB182" s="1"/>
      <c r="AC182" s="190" t="str">
        <f>_xlfn.XLOOKUP(E182&amp;F182&amp;G182&amp;H182&amp;I182&amp;J182&amp;K182&amp;L182&amp;M182&amp;N182&amp;O182&amp;P182,'[2]2.4 wsLookup'!$M$2:$M$96,'[2]2.4 wsLookup'!$N$2:$N$96,"Introuvable")</f>
        <v>Introuvable</v>
      </c>
      <c r="AD182" s="190" t="str">
        <f>_xlfn.XLOOKUP(E182&amp;F182&amp;G182&amp;H182&amp;I182&amp;J182&amp;K182&amp;L182&amp;M182&amp;N182&amp;O182&amp;P182,'[2]2.4 wsLookup'!$M$2:$M$96,'[2]2.4 wsLookup'!$O$2:$O$96,"Introuvable")</f>
        <v>Introuvable</v>
      </c>
      <c r="AE182" s="90" t="e">
        <f t="shared" si="18"/>
        <v>#VALUE!</v>
      </c>
      <c r="AF182" s="206" t="str">
        <f>_xlfn.XLOOKUP(E182&amp;F182&amp;G182&amp;H182&amp;I182&amp;J182&amp;K182&amp;L182&amp;M182&amp;N182&amp;O182&amp;P182,'[2]2.4 wsLookup'!$M$2:$M$96,'[2]2.4 wsLookup'!$Q$2:$Q$96,"Introuvable")</f>
        <v>Introuvable</v>
      </c>
      <c r="AG182" s="91" t="str">
        <f>_xlfn.XLOOKUP(E182&amp;F182&amp;G182&amp;H182&amp;I182&amp;J182&amp;K182&amp;L182&amp;M182&amp;N182&amp;O182&amp;P182,'[2]2.4 wsLookup'!$M$2:$M$96,'[2]2.4 wsLookup'!$P$2:$P$96,"Introuvable")</f>
        <v>Introuvable</v>
      </c>
      <c r="AH182" s="91" t="str">
        <f>_xlfn.XLOOKUP(E182&amp;F182&amp;G182&amp;H182&amp;I182&amp;J182&amp;K182&amp;L182&amp;M182&amp;N182&amp;O182&amp;P182,'[2]2.4 wsLookup'!$M$2:$M$96,'[2]2.4 wsLookup'!$R$2:$R$96,"Introuvable")</f>
        <v>Introuvable</v>
      </c>
      <c r="AI182" s="193" t="str">
        <f>_xlfn.XLOOKUP(E182&amp;F182&amp;G182&amp;H182&amp;I182&amp;J182&amp;K182&amp;L182&amp;M182&amp;N182&amp;O182&amp;P182,'[2]2.4 wsLookup'!$M$2:$M$96,'[2]2.4 wsLookup'!$S$2:$S$96,"Introuvable")</f>
        <v>Introuvable</v>
      </c>
      <c r="AK182" t="str">
        <f t="shared" si="17"/>
        <v>|-|-|-|-|-|-|-|-|-|-|-</v>
      </c>
      <c r="AO182" t="str">
        <f t="shared" si="12"/>
        <v>en localité|non|3|non|oui|sûr|fluide|non|oui|non|oui|oui|élevé</v>
      </c>
    </row>
    <row r="183" spans="1:41" ht="39" customHeight="1">
      <c r="A183" s="1"/>
      <c r="B183" s="1"/>
      <c r="C183" s="188" t="s">
        <v>1898</v>
      </c>
      <c r="D183" s="227"/>
      <c r="E183" s="225"/>
      <c r="F183" s="225" t="s">
        <v>256</v>
      </c>
      <c r="G183" s="225" t="s">
        <v>256</v>
      </c>
      <c r="H183" s="225" t="s">
        <v>256</v>
      </c>
      <c r="I183" s="225" t="s">
        <v>256</v>
      </c>
      <c r="J183" s="320" t="s">
        <v>256</v>
      </c>
      <c r="K183" s="224" t="s">
        <v>256</v>
      </c>
      <c r="L183" s="224" t="s">
        <v>256</v>
      </c>
      <c r="M183" s="224" t="s">
        <v>256</v>
      </c>
      <c r="N183" s="224" t="s">
        <v>256</v>
      </c>
      <c r="O183" s="320" t="s">
        <v>256</v>
      </c>
      <c r="P183" s="226" t="s">
        <v>256</v>
      </c>
      <c r="Q183" s="374"/>
      <c r="R183" s="323" t="s">
        <v>1673</v>
      </c>
      <c r="S183" s="324" t="str">
        <f t="shared" si="13"/>
        <v/>
      </c>
      <c r="T183" s="325" t="str">
        <f t="shared" si="14"/>
        <v/>
      </c>
      <c r="U183" s="228" t="s">
        <v>1673</v>
      </c>
      <c r="V183" s="228" t="s">
        <v>1673</v>
      </c>
      <c r="W183" s="228" t="s">
        <v>1673</v>
      </c>
      <c r="X183" s="229" t="s">
        <v>1673</v>
      </c>
      <c r="Y183" s="288" t="str">
        <f t="shared" si="15"/>
        <v>non</v>
      </c>
      <c r="Z183" s="328" t="str">
        <f t="shared" si="16"/>
        <v/>
      </c>
      <c r="AA183" s="9"/>
      <c r="AB183" s="1"/>
      <c r="AC183" s="190" t="str">
        <f>_xlfn.XLOOKUP(E183&amp;F183&amp;G183&amp;H183&amp;I183&amp;J183&amp;K183&amp;L183&amp;M183&amp;N183&amp;O183&amp;P183,'[2]2.4 wsLookup'!$M$2:$M$96,'[2]2.4 wsLookup'!$N$2:$N$96,"Introuvable")</f>
        <v>Introuvable</v>
      </c>
      <c r="AD183" s="190" t="str">
        <f>_xlfn.XLOOKUP(E183&amp;F183&amp;G183&amp;H183&amp;I183&amp;J183&amp;K183&amp;L183&amp;M183&amp;N183&amp;O183&amp;P183,'[2]2.4 wsLookup'!$M$2:$M$96,'[2]2.4 wsLookup'!$O$2:$O$96,"Introuvable")</f>
        <v>Introuvable</v>
      </c>
      <c r="AE183" s="90" t="e">
        <f t="shared" si="18"/>
        <v>#VALUE!</v>
      </c>
      <c r="AF183" s="206" t="str">
        <f>_xlfn.XLOOKUP(E183&amp;F183&amp;G183&amp;H183&amp;I183&amp;J183&amp;K183&amp;L183&amp;M183&amp;N183&amp;O183&amp;P183,'[2]2.4 wsLookup'!$M$2:$M$96,'[2]2.4 wsLookup'!$Q$2:$Q$96,"Introuvable")</f>
        <v>Introuvable</v>
      </c>
      <c r="AG183" s="91" t="str">
        <f>_xlfn.XLOOKUP(E183&amp;F183&amp;G183&amp;H183&amp;I183&amp;J183&amp;K183&amp;L183&amp;M183&amp;N183&amp;O183&amp;P183,'[2]2.4 wsLookup'!$M$2:$M$96,'[2]2.4 wsLookup'!$P$2:$P$96,"Introuvable")</f>
        <v>Introuvable</v>
      </c>
      <c r="AH183" s="91" t="str">
        <f>_xlfn.XLOOKUP(E183&amp;F183&amp;G183&amp;H183&amp;I183&amp;J183&amp;K183&amp;L183&amp;M183&amp;N183&amp;O183&amp;P183,'[2]2.4 wsLookup'!$M$2:$M$96,'[2]2.4 wsLookup'!$R$2:$R$96,"Introuvable")</f>
        <v>Introuvable</v>
      </c>
      <c r="AI183" s="193" t="str">
        <f>_xlfn.XLOOKUP(E183&amp;F183&amp;G183&amp;H183&amp;I183&amp;J183&amp;K183&amp;L183&amp;M183&amp;N183&amp;O183&amp;P183,'[2]2.4 wsLookup'!$M$2:$M$96,'[2]2.4 wsLookup'!$S$2:$S$96,"Introuvable")</f>
        <v>Introuvable</v>
      </c>
      <c r="AK183" t="str">
        <f t="shared" si="17"/>
        <v>|-|-|-|-|-|-|-|-|-|-|-</v>
      </c>
      <c r="AO183" t="str">
        <f t="shared" si="12"/>
        <v>en localité|non|3|non|non|sûr|fluide|non|non|non|non|non|faible</v>
      </c>
    </row>
    <row r="184" spans="1:41" ht="39" customHeight="1">
      <c r="A184" s="1"/>
      <c r="B184" s="1"/>
      <c r="C184" s="188" t="s">
        <v>1899</v>
      </c>
      <c r="D184" s="227"/>
      <c r="E184" s="225"/>
      <c r="F184" s="225" t="s">
        <v>256</v>
      </c>
      <c r="G184" s="225" t="s">
        <v>256</v>
      </c>
      <c r="H184" s="225" t="s">
        <v>256</v>
      </c>
      <c r="I184" s="225" t="s">
        <v>256</v>
      </c>
      <c r="J184" s="320" t="s">
        <v>256</v>
      </c>
      <c r="K184" s="224" t="s">
        <v>256</v>
      </c>
      <c r="L184" s="224" t="s">
        <v>256</v>
      </c>
      <c r="M184" s="224" t="s">
        <v>256</v>
      </c>
      <c r="N184" s="224" t="s">
        <v>256</v>
      </c>
      <c r="O184" s="320" t="s">
        <v>256</v>
      </c>
      <c r="P184" s="226" t="s">
        <v>256</v>
      </c>
      <c r="Q184" s="374"/>
      <c r="R184" s="323" t="s">
        <v>1673</v>
      </c>
      <c r="S184" s="324" t="str">
        <f t="shared" si="13"/>
        <v/>
      </c>
      <c r="T184" s="325" t="str">
        <f t="shared" si="14"/>
        <v/>
      </c>
      <c r="U184" s="228" t="s">
        <v>1673</v>
      </c>
      <c r="V184" s="228" t="s">
        <v>1673</v>
      </c>
      <c r="W184" s="228" t="s">
        <v>1673</v>
      </c>
      <c r="X184" s="229" t="s">
        <v>1673</v>
      </c>
      <c r="Y184" s="288" t="str">
        <f t="shared" si="15"/>
        <v>non</v>
      </c>
      <c r="Z184" s="328" t="str">
        <f t="shared" si="16"/>
        <v/>
      </c>
      <c r="AA184" s="9"/>
      <c r="AB184" s="1"/>
      <c r="AC184" s="190" t="str">
        <f>_xlfn.XLOOKUP(E184&amp;F184&amp;G184&amp;H184&amp;I184&amp;J184&amp;K184&amp;L184&amp;M184&amp;N184&amp;O184&amp;P184,'[2]2.4 wsLookup'!$M$2:$M$96,'[2]2.4 wsLookup'!$N$2:$N$96,"Introuvable")</f>
        <v>Introuvable</v>
      </c>
      <c r="AD184" s="190" t="str">
        <f>_xlfn.XLOOKUP(E184&amp;F184&amp;G184&amp;H184&amp;I184&amp;J184&amp;K184&amp;L184&amp;M184&amp;N184&amp;O184&amp;P184,'[2]2.4 wsLookup'!$M$2:$M$96,'[2]2.4 wsLookup'!$O$2:$O$96,"Introuvable")</f>
        <v>Introuvable</v>
      </c>
      <c r="AE184" s="90" t="e">
        <f t="shared" si="18"/>
        <v>#VALUE!</v>
      </c>
      <c r="AF184" s="206" t="str">
        <f>_xlfn.XLOOKUP(E184&amp;F184&amp;G184&amp;H184&amp;I184&amp;J184&amp;K184&amp;L184&amp;M184&amp;N184&amp;O184&amp;P184,'[2]2.4 wsLookup'!$M$2:$M$96,'[2]2.4 wsLookup'!$Q$2:$Q$96,"Introuvable")</f>
        <v>Introuvable</v>
      </c>
      <c r="AG184" s="91" t="str">
        <f>_xlfn.XLOOKUP(E184&amp;F184&amp;G184&amp;H184&amp;I184&amp;J184&amp;K184&amp;L184&amp;M184&amp;N184&amp;O184&amp;P184,'[2]2.4 wsLookup'!$M$2:$M$96,'[2]2.4 wsLookup'!$P$2:$P$96,"Introuvable")</f>
        <v>Introuvable</v>
      </c>
      <c r="AH184" s="91" t="str">
        <f>_xlfn.XLOOKUP(E184&amp;F184&amp;G184&amp;H184&amp;I184&amp;J184&amp;K184&amp;L184&amp;M184&amp;N184&amp;O184&amp;P184,'[2]2.4 wsLookup'!$M$2:$M$96,'[2]2.4 wsLookup'!$R$2:$R$96,"Introuvable")</f>
        <v>Introuvable</v>
      </c>
      <c r="AI184" s="193" t="str">
        <f>_xlfn.XLOOKUP(E184&amp;F184&amp;G184&amp;H184&amp;I184&amp;J184&amp;K184&amp;L184&amp;M184&amp;N184&amp;O184&amp;P184,'[2]2.4 wsLookup'!$M$2:$M$96,'[2]2.4 wsLookup'!$S$2:$S$96,"Introuvable")</f>
        <v>Introuvable</v>
      </c>
      <c r="AK184" t="str">
        <f t="shared" si="17"/>
        <v>|-|-|-|-|-|-|-|-|-|-|-</v>
      </c>
      <c r="AO184" t="str">
        <f t="shared" si="12"/>
        <v>en localité|non|3|non|non|sûr|instable|non|non|non|non|non|élevé</v>
      </c>
    </row>
    <row r="185" spans="1:41" ht="39" customHeight="1">
      <c r="A185" s="1"/>
      <c r="B185" s="1"/>
      <c r="C185" s="188" t="s">
        <v>1900</v>
      </c>
      <c r="D185" s="227"/>
      <c r="E185" s="225"/>
      <c r="F185" s="225" t="s">
        <v>256</v>
      </c>
      <c r="G185" s="225" t="s">
        <v>256</v>
      </c>
      <c r="H185" s="225" t="s">
        <v>256</v>
      </c>
      <c r="I185" s="225" t="s">
        <v>256</v>
      </c>
      <c r="J185" s="320" t="s">
        <v>256</v>
      </c>
      <c r="K185" s="224" t="s">
        <v>256</v>
      </c>
      <c r="L185" s="224" t="s">
        <v>256</v>
      </c>
      <c r="M185" s="224" t="s">
        <v>256</v>
      </c>
      <c r="N185" s="224" t="s">
        <v>256</v>
      </c>
      <c r="O185" s="320" t="s">
        <v>256</v>
      </c>
      <c r="P185" s="226" t="s">
        <v>256</v>
      </c>
      <c r="Q185" s="374"/>
      <c r="R185" s="323" t="s">
        <v>1673</v>
      </c>
      <c r="S185" s="324" t="str">
        <f t="shared" si="13"/>
        <v/>
      </c>
      <c r="T185" s="325" t="str">
        <f t="shared" si="14"/>
        <v/>
      </c>
      <c r="U185" s="228" t="s">
        <v>1673</v>
      </c>
      <c r="V185" s="228" t="s">
        <v>1673</v>
      </c>
      <c r="W185" s="228" t="s">
        <v>1673</v>
      </c>
      <c r="X185" s="229" t="s">
        <v>1673</v>
      </c>
      <c r="Y185" s="288" t="str">
        <f t="shared" si="15"/>
        <v>non</v>
      </c>
      <c r="Z185" s="328" t="str">
        <f t="shared" si="16"/>
        <v/>
      </c>
      <c r="AA185" s="9"/>
      <c r="AB185" s="1"/>
      <c r="AC185" s="190" t="str">
        <f>_xlfn.XLOOKUP(E185&amp;F185&amp;G185&amp;H185&amp;I185&amp;J185&amp;K185&amp;L185&amp;M185&amp;N185&amp;O185&amp;P185,'[2]2.4 wsLookup'!$M$2:$M$96,'[2]2.4 wsLookup'!$N$2:$N$96,"Introuvable")</f>
        <v>Introuvable</v>
      </c>
      <c r="AD185" s="190" t="str">
        <f>_xlfn.XLOOKUP(E185&amp;F185&amp;G185&amp;H185&amp;I185&amp;J185&amp;K185&amp;L185&amp;M185&amp;N185&amp;O185&amp;P185,'[2]2.4 wsLookup'!$M$2:$M$96,'[2]2.4 wsLookup'!$O$2:$O$96,"Introuvable")</f>
        <v>Introuvable</v>
      </c>
      <c r="AE185" s="90" t="e">
        <f t="shared" si="18"/>
        <v>#VALUE!</v>
      </c>
      <c r="AF185" s="206" t="str">
        <f>_xlfn.XLOOKUP(E185&amp;F185&amp;G185&amp;H185&amp;I185&amp;J185&amp;K185&amp;L185&amp;M185&amp;N185&amp;O185&amp;P185,'[2]2.4 wsLookup'!$M$2:$M$96,'[2]2.4 wsLookup'!$Q$2:$Q$96,"Introuvable")</f>
        <v>Introuvable</v>
      </c>
      <c r="AG185" s="91" t="str">
        <f>_xlfn.XLOOKUP(E185&amp;F185&amp;G185&amp;H185&amp;I185&amp;J185&amp;K185&amp;L185&amp;M185&amp;N185&amp;O185&amp;P185,'[2]2.4 wsLookup'!$M$2:$M$96,'[2]2.4 wsLookup'!$P$2:$P$96,"Introuvable")</f>
        <v>Introuvable</v>
      </c>
      <c r="AH185" s="91" t="str">
        <f>_xlfn.XLOOKUP(E185&amp;F185&amp;G185&amp;H185&amp;I185&amp;J185&amp;K185&amp;L185&amp;M185&amp;N185&amp;O185&amp;P185,'[2]2.4 wsLookup'!$M$2:$M$96,'[2]2.4 wsLookup'!$R$2:$R$96,"Introuvable")</f>
        <v>Introuvable</v>
      </c>
      <c r="AI185" s="193" t="str">
        <f>_xlfn.XLOOKUP(E185&amp;F185&amp;G185&amp;H185&amp;I185&amp;J185&amp;K185&amp;L185&amp;M185&amp;N185&amp;O185&amp;P185,'[2]2.4 wsLookup'!$M$2:$M$96,'[2]2.4 wsLookup'!$S$2:$S$96,"Introuvable")</f>
        <v>Introuvable</v>
      </c>
      <c r="AK185" t="str">
        <f t="shared" si="17"/>
        <v>|-|-|-|-|-|-|-|-|-|-|-</v>
      </c>
      <c r="AO185" t="str">
        <f t="shared" si="12"/>
        <v>en localité|non|&gt;3|oui|non|sûr|fluide|non|non|non|non|non|faible</v>
      </c>
    </row>
    <row r="186" spans="1:41" ht="39" customHeight="1">
      <c r="A186" s="1"/>
      <c r="B186" s="1"/>
      <c r="C186" s="188" t="s">
        <v>1901</v>
      </c>
      <c r="D186" s="227"/>
      <c r="E186" s="225"/>
      <c r="F186" s="225" t="s">
        <v>256</v>
      </c>
      <c r="G186" s="225" t="s">
        <v>256</v>
      </c>
      <c r="H186" s="225" t="s">
        <v>256</v>
      </c>
      <c r="I186" s="225" t="s">
        <v>256</v>
      </c>
      <c r="J186" s="320" t="s">
        <v>256</v>
      </c>
      <c r="K186" s="224" t="s">
        <v>256</v>
      </c>
      <c r="L186" s="224" t="s">
        <v>256</v>
      </c>
      <c r="M186" s="224" t="s">
        <v>256</v>
      </c>
      <c r="N186" s="224" t="s">
        <v>256</v>
      </c>
      <c r="O186" s="320" t="s">
        <v>256</v>
      </c>
      <c r="P186" s="226" t="s">
        <v>256</v>
      </c>
      <c r="Q186" s="374"/>
      <c r="R186" s="323" t="s">
        <v>1673</v>
      </c>
      <c r="S186" s="324" t="str">
        <f t="shared" si="13"/>
        <v/>
      </c>
      <c r="T186" s="325" t="str">
        <f t="shared" si="14"/>
        <v/>
      </c>
      <c r="U186" s="228" t="s">
        <v>1673</v>
      </c>
      <c r="V186" s="228" t="s">
        <v>1673</v>
      </c>
      <c r="W186" s="228" t="s">
        <v>1673</v>
      </c>
      <c r="X186" s="229" t="s">
        <v>1673</v>
      </c>
      <c r="Y186" s="288" t="str">
        <f t="shared" si="15"/>
        <v>non</v>
      </c>
      <c r="Z186" s="328" t="str">
        <f t="shared" si="16"/>
        <v/>
      </c>
      <c r="AA186" s="9"/>
      <c r="AB186" s="1"/>
      <c r="AC186" s="190" t="str">
        <f>_xlfn.XLOOKUP(E186&amp;F186&amp;G186&amp;H186&amp;I186&amp;J186&amp;K186&amp;L186&amp;M186&amp;N186&amp;O186&amp;P186,'[2]2.4 wsLookup'!$M$2:$M$96,'[2]2.4 wsLookup'!$N$2:$N$96,"Introuvable")</f>
        <v>Introuvable</v>
      </c>
      <c r="AD186" s="190" t="str">
        <f>_xlfn.XLOOKUP(E186&amp;F186&amp;G186&amp;H186&amp;I186&amp;J186&amp;K186&amp;L186&amp;M186&amp;N186&amp;O186&amp;P186,'[2]2.4 wsLookup'!$M$2:$M$96,'[2]2.4 wsLookup'!$O$2:$O$96,"Introuvable")</f>
        <v>Introuvable</v>
      </c>
      <c r="AE186" s="90" t="e">
        <f t="shared" si="18"/>
        <v>#VALUE!</v>
      </c>
      <c r="AF186" s="206" t="str">
        <f>_xlfn.XLOOKUP(E186&amp;F186&amp;G186&amp;H186&amp;I186&amp;J186&amp;K186&amp;L186&amp;M186&amp;N186&amp;O186&amp;P186,'[2]2.4 wsLookup'!$M$2:$M$96,'[2]2.4 wsLookup'!$Q$2:$Q$96,"Introuvable")</f>
        <v>Introuvable</v>
      </c>
      <c r="AG186" s="91" t="str">
        <f>_xlfn.XLOOKUP(E186&amp;F186&amp;G186&amp;H186&amp;I186&amp;J186&amp;K186&amp;L186&amp;M186&amp;N186&amp;O186&amp;P186,'[2]2.4 wsLookup'!$M$2:$M$96,'[2]2.4 wsLookup'!$P$2:$P$96,"Introuvable")</f>
        <v>Introuvable</v>
      </c>
      <c r="AH186" s="91" t="str">
        <f>_xlfn.XLOOKUP(E186&amp;F186&amp;G186&amp;H186&amp;I186&amp;J186&amp;K186&amp;L186&amp;M186&amp;N186&amp;O186&amp;P186,'[2]2.4 wsLookup'!$M$2:$M$96,'[2]2.4 wsLookup'!$R$2:$R$96,"Introuvable")</f>
        <v>Introuvable</v>
      </c>
      <c r="AI186" s="193" t="str">
        <f>_xlfn.XLOOKUP(E186&amp;F186&amp;G186&amp;H186&amp;I186&amp;J186&amp;K186&amp;L186&amp;M186&amp;N186&amp;O186&amp;P186,'[2]2.4 wsLookup'!$M$2:$M$96,'[2]2.4 wsLookup'!$S$2:$S$96,"Introuvable")</f>
        <v>Introuvable</v>
      </c>
      <c r="AK186" t="str">
        <f t="shared" si="17"/>
        <v>|-|-|-|-|-|-|-|-|-|-|-</v>
      </c>
      <c r="AO186" t="str">
        <f t="shared" si="12"/>
        <v>en localité|non|3|non|non|sûr|fluide|non|non|non|non|non|faible</v>
      </c>
    </row>
    <row r="187" spans="1:41" ht="39" customHeight="1">
      <c r="A187" s="1"/>
      <c r="B187" s="1"/>
      <c r="C187" s="188" t="s">
        <v>1902</v>
      </c>
      <c r="D187" s="227"/>
      <c r="E187" s="225"/>
      <c r="F187" s="225" t="s">
        <v>256</v>
      </c>
      <c r="G187" s="225" t="s">
        <v>256</v>
      </c>
      <c r="H187" s="225" t="s">
        <v>256</v>
      </c>
      <c r="I187" s="225" t="s">
        <v>256</v>
      </c>
      <c r="J187" s="320" t="s">
        <v>256</v>
      </c>
      <c r="K187" s="224" t="s">
        <v>256</v>
      </c>
      <c r="L187" s="224" t="s">
        <v>256</v>
      </c>
      <c r="M187" s="224" t="s">
        <v>256</v>
      </c>
      <c r="N187" s="224" t="s">
        <v>256</v>
      </c>
      <c r="O187" s="320" t="s">
        <v>256</v>
      </c>
      <c r="P187" s="226" t="s">
        <v>256</v>
      </c>
      <c r="Q187" s="374"/>
      <c r="R187" s="323" t="s">
        <v>1673</v>
      </c>
      <c r="S187" s="324" t="str">
        <f t="shared" si="13"/>
        <v/>
      </c>
      <c r="T187" s="325" t="str">
        <f t="shared" si="14"/>
        <v/>
      </c>
      <c r="U187" s="228" t="s">
        <v>1673</v>
      </c>
      <c r="V187" s="228" t="s">
        <v>1673</v>
      </c>
      <c r="W187" s="228" t="s">
        <v>1673</v>
      </c>
      <c r="X187" s="229" t="s">
        <v>1673</v>
      </c>
      <c r="Y187" s="288" t="str">
        <f t="shared" si="15"/>
        <v>non</v>
      </c>
      <c r="Z187" s="328" t="str">
        <f t="shared" si="16"/>
        <v/>
      </c>
      <c r="AA187" s="9"/>
      <c r="AB187" s="1"/>
      <c r="AC187" s="190" t="str">
        <f>_xlfn.XLOOKUP(E187&amp;F187&amp;G187&amp;H187&amp;I187&amp;J187&amp;K187&amp;L187&amp;M187&amp;N187&amp;O187&amp;P187,'[2]2.4 wsLookup'!$M$2:$M$96,'[2]2.4 wsLookup'!$N$2:$N$96,"Introuvable")</f>
        <v>Introuvable</v>
      </c>
      <c r="AD187" s="190" t="str">
        <f>_xlfn.XLOOKUP(E187&amp;F187&amp;G187&amp;H187&amp;I187&amp;J187&amp;K187&amp;L187&amp;M187&amp;N187&amp;O187&amp;P187,'[2]2.4 wsLookup'!$M$2:$M$96,'[2]2.4 wsLookup'!$O$2:$O$96,"Introuvable")</f>
        <v>Introuvable</v>
      </c>
      <c r="AE187" s="90" t="e">
        <f t="shared" si="18"/>
        <v>#VALUE!</v>
      </c>
      <c r="AF187" s="206" t="str">
        <f>_xlfn.XLOOKUP(E187&amp;F187&amp;G187&amp;H187&amp;I187&amp;J187&amp;K187&amp;L187&amp;M187&amp;N187&amp;O187&amp;P187,'[2]2.4 wsLookup'!$M$2:$M$96,'[2]2.4 wsLookup'!$Q$2:$Q$96,"Introuvable")</f>
        <v>Introuvable</v>
      </c>
      <c r="AG187" s="91" t="str">
        <f>_xlfn.XLOOKUP(E187&amp;F187&amp;G187&amp;H187&amp;I187&amp;J187&amp;K187&amp;L187&amp;M187&amp;N187&amp;O187&amp;P187,'[2]2.4 wsLookup'!$M$2:$M$96,'[2]2.4 wsLookup'!$P$2:$P$96,"Introuvable")</f>
        <v>Introuvable</v>
      </c>
      <c r="AH187" s="91" t="str">
        <f>_xlfn.XLOOKUP(E187&amp;F187&amp;G187&amp;H187&amp;I187&amp;J187&amp;K187&amp;L187&amp;M187&amp;N187&amp;O187&amp;P187,'[2]2.4 wsLookup'!$M$2:$M$96,'[2]2.4 wsLookup'!$R$2:$R$96,"Introuvable")</f>
        <v>Introuvable</v>
      </c>
      <c r="AI187" s="193" t="str">
        <f>_xlfn.XLOOKUP(E187&amp;F187&amp;G187&amp;H187&amp;I187&amp;J187&amp;K187&amp;L187&amp;M187&amp;N187&amp;O187&amp;P187,'[2]2.4 wsLookup'!$M$2:$M$96,'[2]2.4 wsLookup'!$S$2:$S$96,"Introuvable")</f>
        <v>Introuvable</v>
      </c>
      <c r="AK187" t="str">
        <f t="shared" si="17"/>
        <v>|-|-|-|-|-|-|-|-|-|-|-</v>
      </c>
      <c r="AO187" t="str">
        <f t="shared" si="12"/>
        <v>en localité|non|&gt;3|non|non|acceptable|fluide|non|non|non|non|non|moyen</v>
      </c>
    </row>
    <row r="188" spans="1:41" ht="39" customHeight="1">
      <c r="A188" s="1"/>
      <c r="B188" s="1"/>
      <c r="C188" s="188" t="s">
        <v>1903</v>
      </c>
      <c r="D188" s="227"/>
      <c r="E188" s="225"/>
      <c r="F188" s="225" t="s">
        <v>256</v>
      </c>
      <c r="G188" s="225" t="s">
        <v>256</v>
      </c>
      <c r="H188" s="225" t="s">
        <v>256</v>
      </c>
      <c r="I188" s="225" t="s">
        <v>256</v>
      </c>
      <c r="J188" s="320" t="s">
        <v>256</v>
      </c>
      <c r="K188" s="224" t="s">
        <v>256</v>
      </c>
      <c r="L188" s="224" t="s">
        <v>256</v>
      </c>
      <c r="M188" s="224" t="s">
        <v>256</v>
      </c>
      <c r="N188" s="224" t="s">
        <v>256</v>
      </c>
      <c r="O188" s="320" t="s">
        <v>256</v>
      </c>
      <c r="P188" s="226" t="s">
        <v>256</v>
      </c>
      <c r="Q188" s="374"/>
      <c r="R188" s="323" t="s">
        <v>1673</v>
      </c>
      <c r="S188" s="324" t="str">
        <f t="shared" si="13"/>
        <v/>
      </c>
      <c r="T188" s="325" t="str">
        <f t="shared" si="14"/>
        <v/>
      </c>
      <c r="U188" s="228" t="s">
        <v>1673</v>
      </c>
      <c r="V188" s="228" t="s">
        <v>1673</v>
      </c>
      <c r="W188" s="228" t="s">
        <v>1673</v>
      </c>
      <c r="X188" s="229" t="s">
        <v>1673</v>
      </c>
      <c r="Y188" s="288" t="str">
        <f t="shared" si="15"/>
        <v>non</v>
      </c>
      <c r="Z188" s="328" t="str">
        <f t="shared" si="16"/>
        <v/>
      </c>
      <c r="AA188" s="9"/>
      <c r="AB188" s="1"/>
      <c r="AC188" s="190" t="str">
        <f>_xlfn.XLOOKUP(E188&amp;F188&amp;G188&amp;H188&amp;I188&amp;J188&amp;K188&amp;L188&amp;M188&amp;N188&amp;O188&amp;P188,'[2]2.4 wsLookup'!$M$2:$M$96,'[2]2.4 wsLookup'!$N$2:$N$96,"Introuvable")</f>
        <v>Introuvable</v>
      </c>
      <c r="AD188" s="190" t="str">
        <f>_xlfn.XLOOKUP(E188&amp;F188&amp;G188&amp;H188&amp;I188&amp;J188&amp;K188&amp;L188&amp;M188&amp;N188&amp;O188&amp;P188,'[2]2.4 wsLookup'!$M$2:$M$96,'[2]2.4 wsLookup'!$O$2:$O$96,"Introuvable")</f>
        <v>Introuvable</v>
      </c>
      <c r="AE188" s="90" t="e">
        <f t="shared" si="18"/>
        <v>#VALUE!</v>
      </c>
      <c r="AF188" s="206" t="str">
        <f>_xlfn.XLOOKUP(E188&amp;F188&amp;G188&amp;H188&amp;I188&amp;J188&amp;K188&amp;L188&amp;M188&amp;N188&amp;O188&amp;P188,'[2]2.4 wsLookup'!$M$2:$M$96,'[2]2.4 wsLookup'!$Q$2:$Q$96,"Introuvable")</f>
        <v>Introuvable</v>
      </c>
      <c r="AG188" s="91" t="str">
        <f>_xlfn.XLOOKUP(E188&amp;F188&amp;G188&amp;H188&amp;I188&amp;J188&amp;K188&amp;L188&amp;M188&amp;N188&amp;O188&amp;P188,'[2]2.4 wsLookup'!$M$2:$M$96,'[2]2.4 wsLookup'!$P$2:$P$96,"Introuvable")</f>
        <v>Introuvable</v>
      </c>
      <c r="AH188" s="91" t="str">
        <f>_xlfn.XLOOKUP(E188&amp;F188&amp;G188&amp;H188&amp;I188&amp;J188&amp;K188&amp;L188&amp;M188&amp;N188&amp;O188&amp;P188,'[2]2.4 wsLookup'!$M$2:$M$96,'[2]2.4 wsLookup'!$R$2:$R$96,"Introuvable")</f>
        <v>Introuvable</v>
      </c>
      <c r="AI188" s="193" t="str">
        <f>_xlfn.XLOOKUP(E188&amp;F188&amp;G188&amp;H188&amp;I188&amp;J188&amp;K188&amp;L188&amp;M188&amp;N188&amp;O188&amp;P188,'[2]2.4 wsLookup'!$M$2:$M$96,'[2]2.4 wsLookup'!$S$2:$S$96,"Introuvable")</f>
        <v>Introuvable</v>
      </c>
      <c r="AK188" t="str">
        <f t="shared" si="17"/>
        <v>|-|-|-|-|-|-|-|-|-|-|-</v>
      </c>
      <c r="AO188" t="str">
        <f t="shared" si="12"/>
        <v>en localité|non|3|non|non|sûr|acceptable|non|non|oui|non|oui|élevé</v>
      </c>
    </row>
    <row r="189" spans="1:41" ht="39" customHeight="1">
      <c r="A189" s="1"/>
      <c r="B189" s="1"/>
      <c r="C189" s="188" t="s">
        <v>1904</v>
      </c>
      <c r="D189" s="227"/>
      <c r="E189" s="225"/>
      <c r="F189" s="225" t="s">
        <v>256</v>
      </c>
      <c r="G189" s="225" t="s">
        <v>256</v>
      </c>
      <c r="H189" s="225" t="s">
        <v>256</v>
      </c>
      <c r="I189" s="225" t="s">
        <v>256</v>
      </c>
      <c r="J189" s="320" t="s">
        <v>256</v>
      </c>
      <c r="K189" s="224" t="s">
        <v>256</v>
      </c>
      <c r="L189" s="224" t="s">
        <v>256</v>
      </c>
      <c r="M189" s="224" t="s">
        <v>256</v>
      </c>
      <c r="N189" s="224" t="s">
        <v>256</v>
      </c>
      <c r="O189" s="320" t="s">
        <v>256</v>
      </c>
      <c r="P189" s="226" t="s">
        <v>256</v>
      </c>
      <c r="Q189" s="374"/>
      <c r="R189" s="323" t="s">
        <v>1673</v>
      </c>
      <c r="S189" s="324" t="str">
        <f t="shared" si="13"/>
        <v/>
      </c>
      <c r="T189" s="325" t="str">
        <f t="shared" si="14"/>
        <v/>
      </c>
      <c r="U189" s="228" t="s">
        <v>1673</v>
      </c>
      <c r="V189" s="228" t="s">
        <v>1673</v>
      </c>
      <c r="W189" s="228" t="s">
        <v>1673</v>
      </c>
      <c r="X189" s="229" t="s">
        <v>1673</v>
      </c>
      <c r="Y189" s="288" t="str">
        <f t="shared" si="15"/>
        <v>non</v>
      </c>
      <c r="Z189" s="328" t="str">
        <f t="shared" si="16"/>
        <v/>
      </c>
      <c r="AA189" s="9"/>
      <c r="AB189" s="1"/>
      <c r="AC189" s="190" t="str">
        <f>_xlfn.XLOOKUP(E189&amp;F189&amp;G189&amp;H189&amp;I189&amp;J189&amp;K189&amp;L189&amp;M189&amp;N189&amp;O189&amp;P189,'[2]2.4 wsLookup'!$M$2:$M$96,'[2]2.4 wsLookup'!$N$2:$N$96,"Introuvable")</f>
        <v>Introuvable</v>
      </c>
      <c r="AD189" s="190" t="str">
        <f>_xlfn.XLOOKUP(E189&amp;F189&amp;G189&amp;H189&amp;I189&amp;J189&amp;K189&amp;L189&amp;M189&amp;N189&amp;O189&amp;P189,'[2]2.4 wsLookup'!$M$2:$M$96,'[2]2.4 wsLookup'!$O$2:$O$96,"Introuvable")</f>
        <v>Introuvable</v>
      </c>
      <c r="AE189" s="90" t="e">
        <f t="shared" si="18"/>
        <v>#VALUE!</v>
      </c>
      <c r="AF189" s="206" t="str">
        <f>_xlfn.XLOOKUP(E189&amp;F189&amp;G189&amp;H189&amp;I189&amp;J189&amp;K189&amp;L189&amp;M189&amp;N189&amp;O189&amp;P189,'[2]2.4 wsLookup'!$M$2:$M$96,'[2]2.4 wsLookup'!$Q$2:$Q$96,"Introuvable")</f>
        <v>Introuvable</v>
      </c>
      <c r="AG189" s="91" t="str">
        <f>_xlfn.XLOOKUP(E189&amp;F189&amp;G189&amp;H189&amp;I189&amp;J189&amp;K189&amp;L189&amp;M189&amp;N189&amp;O189&amp;P189,'[2]2.4 wsLookup'!$M$2:$M$96,'[2]2.4 wsLookup'!$P$2:$P$96,"Introuvable")</f>
        <v>Introuvable</v>
      </c>
      <c r="AH189" s="91" t="str">
        <f>_xlfn.XLOOKUP(E189&amp;F189&amp;G189&amp;H189&amp;I189&amp;J189&amp;K189&amp;L189&amp;M189&amp;N189&amp;O189&amp;P189,'[2]2.4 wsLookup'!$M$2:$M$96,'[2]2.4 wsLookup'!$R$2:$R$96,"Introuvable")</f>
        <v>Introuvable</v>
      </c>
      <c r="AI189" s="193" t="str">
        <f>_xlfn.XLOOKUP(E189&amp;F189&amp;G189&amp;H189&amp;I189&amp;J189&amp;K189&amp;L189&amp;M189&amp;N189&amp;O189&amp;P189,'[2]2.4 wsLookup'!$M$2:$M$96,'[2]2.4 wsLookup'!$S$2:$S$96,"Introuvable")</f>
        <v>Introuvable</v>
      </c>
      <c r="AK189" t="str">
        <f t="shared" si="17"/>
        <v>|-|-|-|-|-|-|-|-|-|-|-</v>
      </c>
      <c r="AO189" t="str">
        <f t="shared" si="12"/>
        <v>en localité|non|&gt;3|non|non|acceptable|acceptable|non|non|non|non|non|moyen</v>
      </c>
    </row>
    <row r="190" spans="1:41" ht="39" customHeight="1">
      <c r="A190" s="1"/>
      <c r="B190" s="1"/>
      <c r="C190" s="188" t="s">
        <v>1905</v>
      </c>
      <c r="D190" s="227"/>
      <c r="E190" s="225"/>
      <c r="F190" s="225" t="s">
        <v>256</v>
      </c>
      <c r="G190" s="225" t="s">
        <v>256</v>
      </c>
      <c r="H190" s="225" t="s">
        <v>256</v>
      </c>
      <c r="I190" s="225" t="s">
        <v>256</v>
      </c>
      <c r="J190" s="320" t="s">
        <v>256</v>
      </c>
      <c r="K190" s="224" t="s">
        <v>256</v>
      </c>
      <c r="L190" s="224" t="s">
        <v>256</v>
      </c>
      <c r="M190" s="224" t="s">
        <v>256</v>
      </c>
      <c r="N190" s="224" t="s">
        <v>256</v>
      </c>
      <c r="O190" s="320" t="s">
        <v>256</v>
      </c>
      <c r="P190" s="226" t="s">
        <v>256</v>
      </c>
      <c r="Q190" s="374"/>
      <c r="R190" s="323" t="s">
        <v>1673</v>
      </c>
      <c r="S190" s="324" t="str">
        <f t="shared" si="13"/>
        <v/>
      </c>
      <c r="T190" s="325" t="str">
        <f t="shared" si="14"/>
        <v/>
      </c>
      <c r="U190" s="228" t="s">
        <v>1673</v>
      </c>
      <c r="V190" s="228" t="s">
        <v>1673</v>
      </c>
      <c r="W190" s="228" t="s">
        <v>1673</v>
      </c>
      <c r="X190" s="229" t="s">
        <v>1673</v>
      </c>
      <c r="Y190" s="288" t="str">
        <f t="shared" si="15"/>
        <v>non</v>
      </c>
      <c r="Z190" s="328" t="str">
        <f t="shared" si="16"/>
        <v/>
      </c>
      <c r="AA190" s="9"/>
      <c r="AB190" s="1"/>
      <c r="AC190" s="190" t="str">
        <f>_xlfn.XLOOKUP(E190&amp;F190&amp;G190&amp;H190&amp;I190&amp;J190&amp;K190&amp;L190&amp;M190&amp;N190&amp;O190&amp;P190,'[2]2.4 wsLookup'!$M$2:$M$96,'[2]2.4 wsLookup'!$N$2:$N$96,"Introuvable")</f>
        <v>Introuvable</v>
      </c>
      <c r="AD190" s="190" t="str">
        <f>_xlfn.XLOOKUP(E190&amp;F190&amp;G190&amp;H190&amp;I190&amp;J190&amp;K190&amp;L190&amp;M190&amp;N190&amp;O190&amp;P190,'[2]2.4 wsLookup'!$M$2:$M$96,'[2]2.4 wsLookup'!$O$2:$O$96,"Introuvable")</f>
        <v>Introuvable</v>
      </c>
      <c r="AE190" s="90" t="e">
        <f t="shared" si="18"/>
        <v>#VALUE!</v>
      </c>
      <c r="AF190" s="206" t="str">
        <f>_xlfn.XLOOKUP(E190&amp;F190&amp;G190&amp;H190&amp;I190&amp;J190&amp;K190&amp;L190&amp;M190&amp;N190&amp;O190&amp;P190,'[2]2.4 wsLookup'!$M$2:$M$96,'[2]2.4 wsLookup'!$Q$2:$Q$96,"Introuvable")</f>
        <v>Introuvable</v>
      </c>
      <c r="AG190" s="91" t="str">
        <f>_xlfn.XLOOKUP(E190&amp;F190&amp;G190&amp;H190&amp;I190&amp;J190&amp;K190&amp;L190&amp;M190&amp;N190&amp;O190&amp;P190,'[2]2.4 wsLookup'!$M$2:$M$96,'[2]2.4 wsLookup'!$P$2:$P$96,"Introuvable")</f>
        <v>Introuvable</v>
      </c>
      <c r="AH190" s="91" t="str">
        <f>_xlfn.XLOOKUP(E190&amp;F190&amp;G190&amp;H190&amp;I190&amp;J190&amp;K190&amp;L190&amp;M190&amp;N190&amp;O190&amp;P190,'[2]2.4 wsLookup'!$M$2:$M$96,'[2]2.4 wsLookup'!$R$2:$R$96,"Introuvable")</f>
        <v>Introuvable</v>
      </c>
      <c r="AI190" s="193" t="str">
        <f>_xlfn.XLOOKUP(E190&amp;F190&amp;G190&amp;H190&amp;I190&amp;J190&amp;K190&amp;L190&amp;M190&amp;N190&amp;O190&amp;P190,'[2]2.4 wsLookup'!$M$2:$M$96,'[2]2.4 wsLookup'!$S$2:$S$96,"Introuvable")</f>
        <v>Introuvable</v>
      </c>
      <c r="AK190" t="str">
        <f t="shared" si="17"/>
        <v>|-|-|-|-|-|-|-|-|-|-|-</v>
      </c>
      <c r="AO190" t="str">
        <f t="shared" si="12"/>
        <v>hors localité|non|3|oui|oui|sûr|fluide|non|non|non|non|non|faible</v>
      </c>
    </row>
    <row r="191" spans="1:41" ht="39" customHeight="1">
      <c r="A191" s="1"/>
      <c r="B191" s="1"/>
      <c r="C191" s="188" t="s">
        <v>1906</v>
      </c>
      <c r="D191" s="227"/>
      <c r="E191" s="225"/>
      <c r="F191" s="225" t="s">
        <v>256</v>
      </c>
      <c r="G191" s="225" t="s">
        <v>256</v>
      </c>
      <c r="H191" s="225" t="s">
        <v>256</v>
      </c>
      <c r="I191" s="225" t="s">
        <v>256</v>
      </c>
      <c r="J191" s="320" t="s">
        <v>256</v>
      </c>
      <c r="K191" s="224" t="s">
        <v>256</v>
      </c>
      <c r="L191" s="224" t="s">
        <v>256</v>
      </c>
      <c r="M191" s="224" t="s">
        <v>256</v>
      </c>
      <c r="N191" s="224" t="s">
        <v>256</v>
      </c>
      <c r="O191" s="320" t="s">
        <v>256</v>
      </c>
      <c r="P191" s="226" t="s">
        <v>256</v>
      </c>
      <c r="Q191" s="374"/>
      <c r="R191" s="323" t="s">
        <v>1673</v>
      </c>
      <c r="S191" s="324" t="str">
        <f t="shared" si="13"/>
        <v/>
      </c>
      <c r="T191" s="325" t="str">
        <f t="shared" si="14"/>
        <v/>
      </c>
      <c r="U191" s="228" t="s">
        <v>1673</v>
      </c>
      <c r="V191" s="228" t="s">
        <v>1673</v>
      </c>
      <c r="W191" s="228" t="s">
        <v>1673</v>
      </c>
      <c r="X191" s="229" t="s">
        <v>1673</v>
      </c>
      <c r="Y191" s="288" t="str">
        <f t="shared" si="15"/>
        <v>non</v>
      </c>
      <c r="Z191" s="328" t="str">
        <f t="shared" si="16"/>
        <v/>
      </c>
      <c r="AA191" s="9"/>
      <c r="AB191" s="1"/>
      <c r="AC191" s="190" t="str">
        <f>_xlfn.XLOOKUP(E191&amp;F191&amp;G191&amp;H191&amp;I191&amp;J191&amp;K191&amp;L191&amp;M191&amp;N191&amp;O191&amp;P191,'[2]2.4 wsLookup'!$M$2:$M$96,'[2]2.4 wsLookup'!$N$2:$N$96,"Introuvable")</f>
        <v>Introuvable</v>
      </c>
      <c r="AD191" s="190" t="str">
        <f>_xlfn.XLOOKUP(E191&amp;F191&amp;G191&amp;H191&amp;I191&amp;J191&amp;K191&amp;L191&amp;M191&amp;N191&amp;O191&amp;P191,'[2]2.4 wsLookup'!$M$2:$M$96,'[2]2.4 wsLookup'!$O$2:$O$96,"Introuvable")</f>
        <v>Introuvable</v>
      </c>
      <c r="AE191" s="90" t="e">
        <f t="shared" si="18"/>
        <v>#VALUE!</v>
      </c>
      <c r="AF191" s="206" t="str">
        <f>_xlfn.XLOOKUP(E191&amp;F191&amp;G191&amp;H191&amp;I191&amp;J191&amp;K191&amp;L191&amp;M191&amp;N191&amp;O191&amp;P191,'[2]2.4 wsLookup'!$M$2:$M$96,'[2]2.4 wsLookup'!$Q$2:$Q$96,"Introuvable")</f>
        <v>Introuvable</v>
      </c>
      <c r="AG191" s="91" t="str">
        <f>_xlfn.XLOOKUP(E191&amp;F191&amp;G191&amp;H191&amp;I191&amp;J191&amp;K191&amp;L191&amp;M191&amp;N191&amp;O191&amp;P191,'[2]2.4 wsLookup'!$M$2:$M$96,'[2]2.4 wsLookup'!$P$2:$P$96,"Introuvable")</f>
        <v>Introuvable</v>
      </c>
      <c r="AH191" s="91" t="str">
        <f>_xlfn.XLOOKUP(E191&amp;F191&amp;G191&amp;H191&amp;I191&amp;J191&amp;K191&amp;L191&amp;M191&amp;N191&amp;O191&amp;P191,'[2]2.4 wsLookup'!$M$2:$M$96,'[2]2.4 wsLookup'!$R$2:$R$96,"Introuvable")</f>
        <v>Introuvable</v>
      </c>
      <c r="AI191" s="193" t="str">
        <f>_xlfn.XLOOKUP(E191&amp;F191&amp;G191&amp;H191&amp;I191&amp;J191&amp;K191&amp;L191&amp;M191&amp;N191&amp;O191&amp;P191,'[2]2.4 wsLookup'!$M$2:$M$96,'[2]2.4 wsLookup'!$S$2:$S$96,"Introuvable")</f>
        <v>Introuvable</v>
      </c>
      <c r="AK191" t="str">
        <f t="shared" si="17"/>
        <v>|-|-|-|-|-|-|-|-|-|-|-</v>
      </c>
      <c r="AO191" t="str">
        <f t="shared" si="12"/>
        <v>en localité|non|3|non|oui|acceptable|instable|oui|non|non|non|oui|élevé</v>
      </c>
    </row>
    <row r="192" spans="1:41" ht="39" customHeight="1">
      <c r="A192" s="1"/>
      <c r="B192" s="1"/>
      <c r="C192" s="188" t="s">
        <v>1907</v>
      </c>
      <c r="D192" s="227"/>
      <c r="E192" s="225"/>
      <c r="F192" s="225" t="s">
        <v>256</v>
      </c>
      <c r="G192" s="225" t="s">
        <v>256</v>
      </c>
      <c r="H192" s="225" t="s">
        <v>256</v>
      </c>
      <c r="I192" s="225" t="s">
        <v>256</v>
      </c>
      <c r="J192" s="320" t="s">
        <v>256</v>
      </c>
      <c r="K192" s="224" t="s">
        <v>256</v>
      </c>
      <c r="L192" s="224" t="s">
        <v>256</v>
      </c>
      <c r="M192" s="224" t="s">
        <v>256</v>
      </c>
      <c r="N192" s="224" t="s">
        <v>256</v>
      </c>
      <c r="O192" s="320" t="s">
        <v>256</v>
      </c>
      <c r="P192" s="226" t="s">
        <v>256</v>
      </c>
      <c r="Q192" s="374"/>
      <c r="R192" s="323" t="s">
        <v>1673</v>
      </c>
      <c r="S192" s="324" t="str">
        <f t="shared" si="13"/>
        <v/>
      </c>
      <c r="T192" s="325" t="str">
        <f t="shared" si="14"/>
        <v/>
      </c>
      <c r="U192" s="228" t="s">
        <v>1673</v>
      </c>
      <c r="V192" s="228" t="s">
        <v>1673</v>
      </c>
      <c r="W192" s="228" t="s">
        <v>1673</v>
      </c>
      <c r="X192" s="229" t="s">
        <v>1673</v>
      </c>
      <c r="Y192" s="288" t="str">
        <f t="shared" si="15"/>
        <v>non</v>
      </c>
      <c r="Z192" s="328" t="str">
        <f t="shared" si="16"/>
        <v/>
      </c>
      <c r="AA192" s="9"/>
      <c r="AB192" s="1"/>
      <c r="AC192" s="190" t="str">
        <f>_xlfn.XLOOKUP(E192&amp;F192&amp;G192&amp;H192&amp;I192&amp;J192&amp;K192&amp;L192&amp;M192&amp;N192&amp;O192&amp;P192,'[2]2.4 wsLookup'!$M$2:$M$96,'[2]2.4 wsLookup'!$N$2:$N$96,"Introuvable")</f>
        <v>Introuvable</v>
      </c>
      <c r="AD192" s="190" t="str">
        <f>_xlfn.XLOOKUP(E192&amp;F192&amp;G192&amp;H192&amp;I192&amp;J192&amp;K192&amp;L192&amp;M192&amp;N192&amp;O192&amp;P192,'[2]2.4 wsLookup'!$M$2:$M$96,'[2]2.4 wsLookup'!$O$2:$O$96,"Introuvable")</f>
        <v>Introuvable</v>
      </c>
      <c r="AE192" s="90" t="e">
        <f t="shared" si="18"/>
        <v>#VALUE!</v>
      </c>
      <c r="AF192" s="206" t="str">
        <f>_xlfn.XLOOKUP(E192&amp;F192&amp;G192&amp;H192&amp;I192&amp;J192&amp;K192&amp;L192&amp;M192&amp;N192&amp;O192&amp;P192,'[2]2.4 wsLookup'!$M$2:$M$96,'[2]2.4 wsLookup'!$Q$2:$Q$96,"Introuvable")</f>
        <v>Introuvable</v>
      </c>
      <c r="AG192" s="91" t="str">
        <f>_xlfn.XLOOKUP(E192&amp;F192&amp;G192&amp;H192&amp;I192&amp;J192&amp;K192&amp;L192&amp;M192&amp;N192&amp;O192&amp;P192,'[2]2.4 wsLookup'!$M$2:$M$96,'[2]2.4 wsLookup'!$P$2:$P$96,"Introuvable")</f>
        <v>Introuvable</v>
      </c>
      <c r="AH192" s="91" t="str">
        <f>_xlfn.XLOOKUP(E192&amp;F192&amp;G192&amp;H192&amp;I192&amp;J192&amp;K192&amp;L192&amp;M192&amp;N192&amp;O192&amp;P192,'[2]2.4 wsLookup'!$M$2:$M$96,'[2]2.4 wsLookup'!$R$2:$R$96,"Introuvable")</f>
        <v>Introuvable</v>
      </c>
      <c r="AI192" s="193" t="str">
        <f>_xlfn.XLOOKUP(E192&amp;F192&amp;G192&amp;H192&amp;I192&amp;J192&amp;K192&amp;L192&amp;M192&amp;N192&amp;O192&amp;P192,'[2]2.4 wsLookup'!$M$2:$M$96,'[2]2.4 wsLookup'!$S$2:$S$96,"Introuvable")</f>
        <v>Introuvable</v>
      </c>
      <c r="AK192" t="str">
        <f t="shared" si="17"/>
        <v>|-|-|-|-|-|-|-|-|-|-|-</v>
      </c>
      <c r="AO192" t="str">
        <f t="shared" si="12"/>
        <v>en localité|non|&gt;3|oui|oui|sûr|fluide|non|non|non|non|non|faible</v>
      </c>
    </row>
    <row r="193" spans="1:41" ht="39" customHeight="1">
      <c r="A193" s="1"/>
      <c r="B193" s="1"/>
      <c r="C193" s="188" t="s">
        <v>1908</v>
      </c>
      <c r="D193" s="227"/>
      <c r="E193" s="225"/>
      <c r="F193" s="225" t="s">
        <v>256</v>
      </c>
      <c r="G193" s="225" t="s">
        <v>256</v>
      </c>
      <c r="H193" s="225" t="s">
        <v>256</v>
      </c>
      <c r="I193" s="225" t="s">
        <v>256</v>
      </c>
      <c r="J193" s="320" t="s">
        <v>256</v>
      </c>
      <c r="K193" s="224" t="s">
        <v>256</v>
      </c>
      <c r="L193" s="224" t="s">
        <v>256</v>
      </c>
      <c r="M193" s="224" t="s">
        <v>256</v>
      </c>
      <c r="N193" s="224" t="s">
        <v>256</v>
      </c>
      <c r="O193" s="320" t="s">
        <v>256</v>
      </c>
      <c r="P193" s="226" t="s">
        <v>256</v>
      </c>
      <c r="Q193" s="374"/>
      <c r="R193" s="323" t="s">
        <v>1673</v>
      </c>
      <c r="S193" s="324" t="str">
        <f t="shared" si="13"/>
        <v/>
      </c>
      <c r="T193" s="325" t="str">
        <f t="shared" si="14"/>
        <v/>
      </c>
      <c r="U193" s="228" t="s">
        <v>1673</v>
      </c>
      <c r="V193" s="228" t="s">
        <v>1673</v>
      </c>
      <c r="W193" s="228" t="s">
        <v>1673</v>
      </c>
      <c r="X193" s="229" t="s">
        <v>1673</v>
      </c>
      <c r="Y193" s="288" t="str">
        <f t="shared" si="15"/>
        <v>non</v>
      </c>
      <c r="Z193" s="328" t="str">
        <f t="shared" si="16"/>
        <v/>
      </c>
      <c r="AA193" s="9"/>
      <c r="AB193" s="1"/>
      <c r="AC193" s="190" t="str">
        <f>_xlfn.XLOOKUP(E193&amp;F193&amp;G193&amp;H193&amp;I193&amp;J193&amp;K193&amp;L193&amp;M193&amp;N193&amp;O193&amp;P193,'[2]2.4 wsLookup'!$M$2:$M$96,'[2]2.4 wsLookup'!$N$2:$N$96,"Introuvable")</f>
        <v>Introuvable</v>
      </c>
      <c r="AD193" s="190" t="str">
        <f>_xlfn.XLOOKUP(E193&amp;F193&amp;G193&amp;H193&amp;I193&amp;J193&amp;K193&amp;L193&amp;M193&amp;N193&amp;O193&amp;P193,'[2]2.4 wsLookup'!$M$2:$M$96,'[2]2.4 wsLookup'!$O$2:$O$96,"Introuvable")</f>
        <v>Introuvable</v>
      </c>
      <c r="AE193" s="90" t="e">
        <f t="shared" si="18"/>
        <v>#VALUE!</v>
      </c>
      <c r="AF193" s="206" t="str">
        <f>_xlfn.XLOOKUP(E193&amp;F193&amp;G193&amp;H193&amp;I193&amp;J193&amp;K193&amp;L193&amp;M193&amp;N193&amp;O193&amp;P193,'[2]2.4 wsLookup'!$M$2:$M$96,'[2]2.4 wsLookup'!$Q$2:$Q$96,"Introuvable")</f>
        <v>Introuvable</v>
      </c>
      <c r="AG193" s="91" t="str">
        <f>_xlfn.XLOOKUP(E193&amp;F193&amp;G193&amp;H193&amp;I193&amp;J193&amp;K193&amp;L193&amp;M193&amp;N193&amp;O193&amp;P193,'[2]2.4 wsLookup'!$M$2:$M$96,'[2]2.4 wsLookup'!$P$2:$P$96,"Introuvable")</f>
        <v>Introuvable</v>
      </c>
      <c r="AH193" s="91" t="str">
        <f>_xlfn.XLOOKUP(E193&amp;F193&amp;G193&amp;H193&amp;I193&amp;J193&amp;K193&amp;L193&amp;M193&amp;N193&amp;O193&amp;P193,'[2]2.4 wsLookup'!$M$2:$M$96,'[2]2.4 wsLookup'!$R$2:$R$96,"Introuvable")</f>
        <v>Introuvable</v>
      </c>
      <c r="AI193" s="193" t="str">
        <f>_xlfn.XLOOKUP(E193&amp;F193&amp;G193&amp;H193&amp;I193&amp;J193&amp;K193&amp;L193&amp;M193&amp;N193&amp;O193&amp;P193,'[2]2.4 wsLookup'!$M$2:$M$96,'[2]2.4 wsLookup'!$S$2:$S$96,"Introuvable")</f>
        <v>Introuvable</v>
      </c>
      <c r="AK193" t="str">
        <f t="shared" si="17"/>
        <v>|-|-|-|-|-|-|-|-|-|-|-</v>
      </c>
      <c r="AO193" t="str">
        <f t="shared" si="12"/>
        <v>en localité|non|3|non|oui|sûr|instable|non|non|non|non|non|élevé</v>
      </c>
    </row>
    <row r="194" spans="1:41" ht="39" customHeight="1">
      <c r="A194" s="1"/>
      <c r="B194" s="1"/>
      <c r="C194" s="188" t="s">
        <v>1909</v>
      </c>
      <c r="D194" s="227"/>
      <c r="E194" s="225"/>
      <c r="F194" s="225" t="s">
        <v>256</v>
      </c>
      <c r="G194" s="225" t="s">
        <v>256</v>
      </c>
      <c r="H194" s="225" t="s">
        <v>256</v>
      </c>
      <c r="I194" s="225" t="s">
        <v>256</v>
      </c>
      <c r="J194" s="320" t="s">
        <v>256</v>
      </c>
      <c r="K194" s="224" t="s">
        <v>256</v>
      </c>
      <c r="L194" s="224" t="s">
        <v>256</v>
      </c>
      <c r="M194" s="224" t="s">
        <v>256</v>
      </c>
      <c r="N194" s="224" t="s">
        <v>256</v>
      </c>
      <c r="O194" s="320" t="s">
        <v>256</v>
      </c>
      <c r="P194" s="226" t="s">
        <v>256</v>
      </c>
      <c r="Q194" s="374"/>
      <c r="R194" s="323" t="s">
        <v>1673</v>
      </c>
      <c r="S194" s="324" t="str">
        <f t="shared" si="13"/>
        <v/>
      </c>
      <c r="T194" s="325" t="str">
        <f t="shared" si="14"/>
        <v/>
      </c>
      <c r="U194" s="228" t="s">
        <v>1673</v>
      </c>
      <c r="V194" s="228" t="s">
        <v>1673</v>
      </c>
      <c r="W194" s="228" t="s">
        <v>1673</v>
      </c>
      <c r="X194" s="229" t="s">
        <v>1673</v>
      </c>
      <c r="Y194" s="288" t="str">
        <f t="shared" si="15"/>
        <v>non</v>
      </c>
      <c r="Z194" s="328" t="str">
        <f t="shared" si="16"/>
        <v/>
      </c>
      <c r="AA194" s="9"/>
      <c r="AB194" s="1"/>
      <c r="AC194" s="190" t="str">
        <f>_xlfn.XLOOKUP(E194&amp;F194&amp;G194&amp;H194&amp;I194&amp;J194&amp;K194&amp;L194&amp;M194&amp;N194&amp;O194&amp;P194,'[2]2.4 wsLookup'!$M$2:$M$96,'[2]2.4 wsLookup'!$N$2:$N$96,"Introuvable")</f>
        <v>Introuvable</v>
      </c>
      <c r="AD194" s="190" t="str">
        <f>_xlfn.XLOOKUP(E194&amp;F194&amp;G194&amp;H194&amp;I194&amp;J194&amp;K194&amp;L194&amp;M194&amp;N194&amp;O194&amp;P194,'[2]2.4 wsLookup'!$M$2:$M$96,'[2]2.4 wsLookup'!$O$2:$O$96,"Introuvable")</f>
        <v>Introuvable</v>
      </c>
      <c r="AE194" s="90" t="e">
        <f t="shared" si="18"/>
        <v>#VALUE!</v>
      </c>
      <c r="AF194" s="206" t="str">
        <f>_xlfn.XLOOKUP(E194&amp;F194&amp;G194&amp;H194&amp;I194&amp;J194&amp;K194&amp;L194&amp;M194&amp;N194&amp;O194&amp;P194,'[2]2.4 wsLookup'!$M$2:$M$96,'[2]2.4 wsLookup'!$Q$2:$Q$96,"Introuvable")</f>
        <v>Introuvable</v>
      </c>
      <c r="AG194" s="91" t="str">
        <f>_xlfn.XLOOKUP(E194&amp;F194&amp;G194&amp;H194&amp;I194&amp;J194&amp;K194&amp;L194&amp;M194&amp;N194&amp;O194&amp;P194,'[2]2.4 wsLookup'!$M$2:$M$96,'[2]2.4 wsLookup'!$P$2:$P$96,"Introuvable")</f>
        <v>Introuvable</v>
      </c>
      <c r="AH194" s="91" t="str">
        <f>_xlfn.XLOOKUP(E194&amp;F194&amp;G194&amp;H194&amp;I194&amp;J194&amp;K194&amp;L194&amp;M194&amp;N194&amp;O194&amp;P194,'[2]2.4 wsLookup'!$M$2:$M$96,'[2]2.4 wsLookup'!$R$2:$R$96,"Introuvable")</f>
        <v>Introuvable</v>
      </c>
      <c r="AI194" s="193" t="str">
        <f>_xlfn.XLOOKUP(E194&amp;F194&amp;G194&amp;H194&amp;I194&amp;J194&amp;K194&amp;L194&amp;M194&amp;N194&amp;O194&amp;P194,'[2]2.4 wsLookup'!$M$2:$M$96,'[2]2.4 wsLookup'!$S$2:$S$96,"Introuvable")</f>
        <v>Introuvable</v>
      </c>
      <c r="AK194" t="str">
        <f t="shared" si="17"/>
        <v>|-|-|-|-|-|-|-|-|-|-|-</v>
      </c>
      <c r="AO194" t="str">
        <f t="shared" si="12"/>
        <v>en localité|non|3|non|oui|sûr|instable|non|non|non|non|non|élevé</v>
      </c>
    </row>
    <row r="195" spans="1:41" ht="39" customHeight="1">
      <c r="A195" s="1"/>
      <c r="B195" s="1"/>
      <c r="C195" s="188" t="s">
        <v>1910</v>
      </c>
      <c r="D195" s="227"/>
      <c r="E195" s="225"/>
      <c r="F195" s="225" t="s">
        <v>256</v>
      </c>
      <c r="G195" s="225" t="s">
        <v>256</v>
      </c>
      <c r="H195" s="225" t="s">
        <v>256</v>
      </c>
      <c r="I195" s="225" t="s">
        <v>256</v>
      </c>
      <c r="J195" s="320" t="s">
        <v>256</v>
      </c>
      <c r="K195" s="224" t="s">
        <v>256</v>
      </c>
      <c r="L195" s="224" t="s">
        <v>256</v>
      </c>
      <c r="M195" s="224" t="s">
        <v>256</v>
      </c>
      <c r="N195" s="224" t="s">
        <v>256</v>
      </c>
      <c r="O195" s="320" t="s">
        <v>256</v>
      </c>
      <c r="P195" s="226" t="s">
        <v>256</v>
      </c>
      <c r="Q195" s="374"/>
      <c r="R195" s="323" t="s">
        <v>1673</v>
      </c>
      <c r="S195" s="324" t="str">
        <f t="shared" si="13"/>
        <v/>
      </c>
      <c r="T195" s="325" t="str">
        <f t="shared" si="14"/>
        <v/>
      </c>
      <c r="U195" s="228" t="s">
        <v>1673</v>
      </c>
      <c r="V195" s="228" t="s">
        <v>1673</v>
      </c>
      <c r="W195" s="228" t="s">
        <v>1673</v>
      </c>
      <c r="X195" s="229" t="s">
        <v>1673</v>
      </c>
      <c r="Y195" s="288" t="str">
        <f t="shared" si="15"/>
        <v>non</v>
      </c>
      <c r="Z195" s="328" t="str">
        <f t="shared" si="16"/>
        <v/>
      </c>
      <c r="AA195" s="9"/>
      <c r="AB195" s="1"/>
      <c r="AC195" s="190" t="str">
        <f>_xlfn.XLOOKUP(E195&amp;F195&amp;G195&amp;H195&amp;I195&amp;J195&amp;K195&amp;L195&amp;M195&amp;N195&amp;O195&amp;P195,'[2]2.4 wsLookup'!$M$2:$M$96,'[2]2.4 wsLookup'!$N$2:$N$96,"Introuvable")</f>
        <v>Introuvable</v>
      </c>
      <c r="AD195" s="190" t="str">
        <f>_xlfn.XLOOKUP(E195&amp;F195&amp;G195&amp;H195&amp;I195&amp;J195&amp;K195&amp;L195&amp;M195&amp;N195&amp;O195&amp;P195,'[2]2.4 wsLookup'!$M$2:$M$96,'[2]2.4 wsLookup'!$O$2:$O$96,"Introuvable")</f>
        <v>Introuvable</v>
      </c>
      <c r="AE195" s="90" t="e">
        <f t="shared" si="18"/>
        <v>#VALUE!</v>
      </c>
      <c r="AF195" s="206" t="str">
        <f>_xlfn.XLOOKUP(E195&amp;F195&amp;G195&amp;H195&amp;I195&amp;J195&amp;K195&amp;L195&amp;M195&amp;N195&amp;O195&amp;P195,'[2]2.4 wsLookup'!$M$2:$M$96,'[2]2.4 wsLookup'!$Q$2:$Q$96,"Introuvable")</f>
        <v>Introuvable</v>
      </c>
      <c r="AG195" s="91" t="str">
        <f>_xlfn.XLOOKUP(E195&amp;F195&amp;G195&amp;H195&amp;I195&amp;J195&amp;K195&amp;L195&amp;M195&amp;N195&amp;O195&amp;P195,'[2]2.4 wsLookup'!$M$2:$M$96,'[2]2.4 wsLookup'!$P$2:$P$96,"Introuvable")</f>
        <v>Introuvable</v>
      </c>
      <c r="AH195" s="91" t="str">
        <f>_xlfn.XLOOKUP(E195&amp;F195&amp;G195&amp;H195&amp;I195&amp;J195&amp;K195&amp;L195&amp;M195&amp;N195&amp;O195&amp;P195,'[2]2.4 wsLookup'!$M$2:$M$96,'[2]2.4 wsLookup'!$R$2:$R$96,"Introuvable")</f>
        <v>Introuvable</v>
      </c>
      <c r="AI195" s="193" t="str">
        <f>_xlfn.XLOOKUP(E195&amp;F195&amp;G195&amp;H195&amp;I195&amp;J195&amp;K195&amp;L195&amp;M195&amp;N195&amp;O195&amp;P195,'[2]2.4 wsLookup'!$M$2:$M$96,'[2]2.4 wsLookup'!$S$2:$S$96,"Introuvable")</f>
        <v>Introuvable</v>
      </c>
      <c r="AK195" t="str">
        <f t="shared" si="17"/>
        <v>|-|-|-|-|-|-|-|-|-|-|-</v>
      </c>
      <c r="AO195" t="str">
        <f t="shared" si="12"/>
        <v>en localité|non|3|non|oui|sûr|acceptable|non|non|non|non|non|moyen</v>
      </c>
    </row>
    <row r="196" spans="1:41" ht="39" customHeight="1">
      <c r="A196" s="1"/>
      <c r="B196" s="1"/>
      <c r="C196" s="188" t="s">
        <v>1911</v>
      </c>
      <c r="D196" s="227"/>
      <c r="E196" s="225"/>
      <c r="F196" s="225" t="s">
        <v>256</v>
      </c>
      <c r="G196" s="225" t="s">
        <v>256</v>
      </c>
      <c r="H196" s="225" t="s">
        <v>256</v>
      </c>
      <c r="I196" s="225" t="s">
        <v>256</v>
      </c>
      <c r="J196" s="320" t="s">
        <v>256</v>
      </c>
      <c r="K196" s="224" t="s">
        <v>256</v>
      </c>
      <c r="L196" s="224" t="s">
        <v>256</v>
      </c>
      <c r="M196" s="224" t="s">
        <v>256</v>
      </c>
      <c r="N196" s="224" t="s">
        <v>256</v>
      </c>
      <c r="O196" s="320" t="s">
        <v>256</v>
      </c>
      <c r="P196" s="226" t="s">
        <v>256</v>
      </c>
      <c r="Q196" s="374"/>
      <c r="R196" s="323" t="s">
        <v>1673</v>
      </c>
      <c r="S196" s="324" t="str">
        <f t="shared" si="13"/>
        <v/>
      </c>
      <c r="T196" s="325" t="str">
        <f t="shared" si="14"/>
        <v/>
      </c>
      <c r="U196" s="228" t="s">
        <v>1673</v>
      </c>
      <c r="V196" s="228" t="s">
        <v>1673</v>
      </c>
      <c r="W196" s="228" t="s">
        <v>1673</v>
      </c>
      <c r="X196" s="229" t="s">
        <v>1673</v>
      </c>
      <c r="Y196" s="288" t="str">
        <f t="shared" si="15"/>
        <v>non</v>
      </c>
      <c r="Z196" s="328" t="str">
        <f t="shared" si="16"/>
        <v/>
      </c>
      <c r="AA196" s="9"/>
      <c r="AB196" s="1"/>
      <c r="AC196" s="190" t="str">
        <f>_xlfn.XLOOKUP(E196&amp;F196&amp;G196&amp;H196&amp;I196&amp;J196&amp;K196&amp;L196&amp;M196&amp;N196&amp;O196&amp;P196,'[2]2.4 wsLookup'!$M$2:$M$96,'[2]2.4 wsLookup'!$N$2:$N$96,"Introuvable")</f>
        <v>Introuvable</v>
      </c>
      <c r="AD196" s="190" t="str">
        <f>_xlfn.XLOOKUP(E196&amp;F196&amp;G196&amp;H196&amp;I196&amp;J196&amp;K196&amp;L196&amp;M196&amp;N196&amp;O196&amp;P196,'[2]2.4 wsLookup'!$M$2:$M$96,'[2]2.4 wsLookup'!$O$2:$O$96,"Introuvable")</f>
        <v>Introuvable</v>
      </c>
      <c r="AE196" s="90" t="e">
        <f t="shared" si="18"/>
        <v>#VALUE!</v>
      </c>
      <c r="AF196" s="206" t="str">
        <f>_xlfn.XLOOKUP(E196&amp;F196&amp;G196&amp;H196&amp;I196&amp;J196&amp;K196&amp;L196&amp;M196&amp;N196&amp;O196&amp;P196,'[2]2.4 wsLookup'!$M$2:$M$96,'[2]2.4 wsLookup'!$Q$2:$Q$96,"Introuvable")</f>
        <v>Introuvable</v>
      </c>
      <c r="AG196" s="91" t="str">
        <f>_xlfn.XLOOKUP(E196&amp;F196&amp;G196&amp;H196&amp;I196&amp;J196&amp;K196&amp;L196&amp;M196&amp;N196&amp;O196&amp;P196,'[2]2.4 wsLookup'!$M$2:$M$96,'[2]2.4 wsLookup'!$P$2:$P$96,"Introuvable")</f>
        <v>Introuvable</v>
      </c>
      <c r="AH196" s="91" t="str">
        <f>_xlfn.XLOOKUP(E196&amp;F196&amp;G196&amp;H196&amp;I196&amp;J196&amp;K196&amp;L196&amp;M196&amp;N196&amp;O196&amp;P196,'[2]2.4 wsLookup'!$M$2:$M$96,'[2]2.4 wsLookup'!$R$2:$R$96,"Introuvable")</f>
        <v>Introuvable</v>
      </c>
      <c r="AI196" s="193" t="str">
        <f>_xlfn.XLOOKUP(E196&amp;F196&amp;G196&amp;H196&amp;I196&amp;J196&amp;K196&amp;L196&amp;M196&amp;N196&amp;O196&amp;P196,'[2]2.4 wsLookup'!$M$2:$M$96,'[2]2.4 wsLookup'!$S$2:$S$96,"Introuvable")</f>
        <v>Introuvable</v>
      </c>
      <c r="AK196" t="str">
        <f t="shared" si="17"/>
        <v>|-|-|-|-|-|-|-|-|-|-|-</v>
      </c>
      <c r="AO196" t="str">
        <f t="shared" si="12"/>
        <v>en localité|non|&gt;3|non|oui|acceptable|fluide|non|non|non|non|non|moyen</v>
      </c>
    </row>
    <row r="197" spans="1:41" ht="39" customHeight="1">
      <c r="A197" s="1"/>
      <c r="B197" s="1"/>
      <c r="C197" s="188" t="s">
        <v>1912</v>
      </c>
      <c r="D197" s="227"/>
      <c r="E197" s="225"/>
      <c r="F197" s="225" t="s">
        <v>256</v>
      </c>
      <c r="G197" s="225" t="s">
        <v>256</v>
      </c>
      <c r="H197" s="225" t="s">
        <v>256</v>
      </c>
      <c r="I197" s="225" t="s">
        <v>256</v>
      </c>
      <c r="J197" s="320" t="s">
        <v>256</v>
      </c>
      <c r="K197" s="224" t="s">
        <v>256</v>
      </c>
      <c r="L197" s="224" t="s">
        <v>256</v>
      </c>
      <c r="M197" s="224" t="s">
        <v>256</v>
      </c>
      <c r="N197" s="224" t="s">
        <v>256</v>
      </c>
      <c r="O197" s="320" t="s">
        <v>256</v>
      </c>
      <c r="P197" s="226" t="s">
        <v>256</v>
      </c>
      <c r="Q197" s="374"/>
      <c r="R197" s="323" t="s">
        <v>1673</v>
      </c>
      <c r="S197" s="324" t="str">
        <f t="shared" si="13"/>
        <v/>
      </c>
      <c r="T197" s="325" t="str">
        <f t="shared" si="14"/>
        <v/>
      </c>
      <c r="U197" s="228" t="s">
        <v>1673</v>
      </c>
      <c r="V197" s="228" t="s">
        <v>1673</v>
      </c>
      <c r="W197" s="228" t="s">
        <v>1673</v>
      </c>
      <c r="X197" s="229" t="s">
        <v>1673</v>
      </c>
      <c r="Y197" s="288" t="str">
        <f t="shared" si="15"/>
        <v>non</v>
      </c>
      <c r="Z197" s="328" t="str">
        <f t="shared" si="16"/>
        <v/>
      </c>
      <c r="AA197" s="9"/>
      <c r="AB197" s="1"/>
      <c r="AC197" s="190" t="str">
        <f>_xlfn.XLOOKUP(E197&amp;F197&amp;G197&amp;H197&amp;I197&amp;J197&amp;K197&amp;L197&amp;M197&amp;N197&amp;O197&amp;P197,'[2]2.4 wsLookup'!$M$2:$M$96,'[2]2.4 wsLookup'!$N$2:$N$96,"Introuvable")</f>
        <v>Introuvable</v>
      </c>
      <c r="AD197" s="190" t="str">
        <f>_xlfn.XLOOKUP(E197&amp;F197&amp;G197&amp;H197&amp;I197&amp;J197&amp;K197&amp;L197&amp;M197&amp;N197&amp;O197&amp;P197,'[2]2.4 wsLookup'!$M$2:$M$96,'[2]2.4 wsLookup'!$O$2:$O$96,"Introuvable")</f>
        <v>Introuvable</v>
      </c>
      <c r="AE197" s="90" t="e">
        <f t="shared" si="18"/>
        <v>#VALUE!</v>
      </c>
      <c r="AF197" s="206" t="str">
        <f>_xlfn.XLOOKUP(E197&amp;F197&amp;G197&amp;H197&amp;I197&amp;J197&amp;K197&amp;L197&amp;M197&amp;N197&amp;O197&amp;P197,'[2]2.4 wsLookup'!$M$2:$M$96,'[2]2.4 wsLookup'!$Q$2:$Q$96,"Introuvable")</f>
        <v>Introuvable</v>
      </c>
      <c r="AG197" s="91" t="str">
        <f>_xlfn.XLOOKUP(E197&amp;F197&amp;G197&amp;H197&amp;I197&amp;J197&amp;K197&amp;L197&amp;M197&amp;N197&amp;O197&amp;P197,'[2]2.4 wsLookup'!$M$2:$M$96,'[2]2.4 wsLookup'!$P$2:$P$96,"Introuvable")</f>
        <v>Introuvable</v>
      </c>
      <c r="AH197" s="91" t="str">
        <f>_xlfn.XLOOKUP(E197&amp;F197&amp;G197&amp;H197&amp;I197&amp;J197&amp;K197&amp;L197&amp;M197&amp;N197&amp;O197&amp;P197,'[2]2.4 wsLookup'!$M$2:$M$96,'[2]2.4 wsLookup'!$R$2:$R$96,"Introuvable")</f>
        <v>Introuvable</v>
      </c>
      <c r="AI197" s="193" t="str">
        <f>_xlfn.XLOOKUP(E197&amp;F197&amp;G197&amp;H197&amp;I197&amp;J197&amp;K197&amp;L197&amp;M197&amp;N197&amp;O197&amp;P197,'[2]2.4 wsLookup'!$M$2:$M$96,'[2]2.4 wsLookup'!$S$2:$S$96,"Introuvable")</f>
        <v>Introuvable</v>
      </c>
      <c r="AK197" t="str">
        <f t="shared" si="17"/>
        <v>|-|-|-|-|-|-|-|-|-|-|-</v>
      </c>
      <c r="AO197" t="str">
        <f t="shared" si="12"/>
        <v>en localité|non|3|non|non|sûr|instable|non|non|non|non|non|élevé</v>
      </c>
    </row>
    <row r="198" spans="1:41" ht="39" customHeight="1">
      <c r="A198" s="1"/>
      <c r="B198" s="1"/>
      <c r="C198" s="188" t="s">
        <v>1913</v>
      </c>
      <c r="D198" s="227"/>
      <c r="E198" s="225"/>
      <c r="F198" s="225" t="s">
        <v>256</v>
      </c>
      <c r="G198" s="225" t="s">
        <v>256</v>
      </c>
      <c r="H198" s="225" t="s">
        <v>256</v>
      </c>
      <c r="I198" s="225" t="s">
        <v>256</v>
      </c>
      <c r="J198" s="320" t="s">
        <v>256</v>
      </c>
      <c r="K198" s="224" t="s">
        <v>256</v>
      </c>
      <c r="L198" s="224" t="s">
        <v>256</v>
      </c>
      <c r="M198" s="224" t="s">
        <v>256</v>
      </c>
      <c r="N198" s="224" t="s">
        <v>256</v>
      </c>
      <c r="O198" s="320" t="s">
        <v>256</v>
      </c>
      <c r="P198" s="226" t="s">
        <v>256</v>
      </c>
      <c r="Q198" s="374"/>
      <c r="R198" s="323" t="s">
        <v>1673</v>
      </c>
      <c r="S198" s="324" t="str">
        <f t="shared" si="13"/>
        <v/>
      </c>
      <c r="T198" s="325" t="str">
        <f t="shared" si="14"/>
        <v/>
      </c>
      <c r="U198" s="228" t="s">
        <v>1673</v>
      </c>
      <c r="V198" s="228" t="s">
        <v>1673</v>
      </c>
      <c r="W198" s="228" t="s">
        <v>1673</v>
      </c>
      <c r="X198" s="229" t="s">
        <v>1673</v>
      </c>
      <c r="Y198" s="288" t="str">
        <f t="shared" si="15"/>
        <v>non</v>
      </c>
      <c r="Z198" s="328" t="str">
        <f t="shared" si="16"/>
        <v/>
      </c>
      <c r="AA198" s="9"/>
      <c r="AB198" s="1"/>
      <c r="AC198" s="190" t="str">
        <f>_xlfn.XLOOKUP(E198&amp;F198&amp;G198&amp;H198&amp;I198&amp;J198&amp;K198&amp;L198&amp;M198&amp;N198&amp;O198&amp;P198,'[2]2.4 wsLookup'!$M$2:$M$96,'[2]2.4 wsLookup'!$N$2:$N$96,"Introuvable")</f>
        <v>Introuvable</v>
      </c>
      <c r="AD198" s="190" t="str">
        <f>_xlfn.XLOOKUP(E198&amp;F198&amp;G198&amp;H198&amp;I198&amp;J198&amp;K198&amp;L198&amp;M198&amp;N198&amp;O198&amp;P198,'[2]2.4 wsLookup'!$M$2:$M$96,'[2]2.4 wsLookup'!$O$2:$O$96,"Introuvable")</f>
        <v>Introuvable</v>
      </c>
      <c r="AE198" s="90" t="e">
        <f t="shared" si="18"/>
        <v>#VALUE!</v>
      </c>
      <c r="AF198" s="206" t="str">
        <f>_xlfn.XLOOKUP(E198&amp;F198&amp;G198&amp;H198&amp;I198&amp;J198&amp;K198&amp;L198&amp;M198&amp;N198&amp;O198&amp;P198,'[2]2.4 wsLookup'!$M$2:$M$96,'[2]2.4 wsLookup'!$Q$2:$Q$96,"Introuvable")</f>
        <v>Introuvable</v>
      </c>
      <c r="AG198" s="91" t="str">
        <f>_xlfn.XLOOKUP(E198&amp;F198&amp;G198&amp;H198&amp;I198&amp;J198&amp;K198&amp;L198&amp;M198&amp;N198&amp;O198&amp;P198,'[2]2.4 wsLookup'!$M$2:$M$96,'[2]2.4 wsLookup'!$P$2:$P$96,"Introuvable")</f>
        <v>Introuvable</v>
      </c>
      <c r="AH198" s="91" t="str">
        <f>_xlfn.XLOOKUP(E198&amp;F198&amp;G198&amp;H198&amp;I198&amp;J198&amp;K198&amp;L198&amp;M198&amp;N198&amp;O198&amp;P198,'[2]2.4 wsLookup'!$M$2:$M$96,'[2]2.4 wsLookup'!$R$2:$R$96,"Introuvable")</f>
        <v>Introuvable</v>
      </c>
      <c r="AI198" s="193" t="str">
        <f>_xlfn.XLOOKUP(E198&amp;F198&amp;G198&amp;H198&amp;I198&amp;J198&amp;K198&amp;L198&amp;M198&amp;N198&amp;O198&amp;P198,'[2]2.4 wsLookup'!$M$2:$M$96,'[2]2.4 wsLookup'!$S$2:$S$96,"Introuvable")</f>
        <v>Introuvable</v>
      </c>
      <c r="AK198" t="str">
        <f t="shared" si="17"/>
        <v>|-|-|-|-|-|-|-|-|-|-|-</v>
      </c>
      <c r="AO198" t="str">
        <f t="shared" si="12"/>
        <v>en localité|non|&gt;3|oui|non|sûr|fluide|non|non|oui|oui|oui|élevé</v>
      </c>
    </row>
    <row r="199" spans="1:41" ht="39" customHeight="1">
      <c r="A199" s="1"/>
      <c r="B199" s="1"/>
      <c r="C199" s="188" t="s">
        <v>1914</v>
      </c>
      <c r="D199" s="227"/>
      <c r="E199" s="225"/>
      <c r="F199" s="225" t="s">
        <v>256</v>
      </c>
      <c r="G199" s="225" t="s">
        <v>256</v>
      </c>
      <c r="H199" s="225" t="s">
        <v>256</v>
      </c>
      <c r="I199" s="225" t="s">
        <v>256</v>
      </c>
      <c r="J199" s="320" t="s">
        <v>256</v>
      </c>
      <c r="K199" s="224" t="s">
        <v>256</v>
      </c>
      <c r="L199" s="224" t="s">
        <v>256</v>
      </c>
      <c r="M199" s="224" t="s">
        <v>256</v>
      </c>
      <c r="N199" s="224" t="s">
        <v>256</v>
      </c>
      <c r="O199" s="320" t="s">
        <v>256</v>
      </c>
      <c r="P199" s="226" t="s">
        <v>256</v>
      </c>
      <c r="Q199" s="374"/>
      <c r="R199" s="323" t="s">
        <v>1673</v>
      </c>
      <c r="S199" s="324" t="str">
        <f t="shared" si="13"/>
        <v/>
      </c>
      <c r="T199" s="325" t="str">
        <f t="shared" si="14"/>
        <v/>
      </c>
      <c r="U199" s="228" t="s">
        <v>1673</v>
      </c>
      <c r="V199" s="228" t="s">
        <v>1673</v>
      </c>
      <c r="W199" s="228" t="s">
        <v>1673</v>
      </c>
      <c r="X199" s="229" t="s">
        <v>1673</v>
      </c>
      <c r="Y199" s="288" t="str">
        <f t="shared" si="15"/>
        <v>non</v>
      </c>
      <c r="Z199" s="328" t="str">
        <f t="shared" si="16"/>
        <v/>
      </c>
      <c r="AA199" s="9"/>
      <c r="AB199" s="1"/>
      <c r="AC199" s="190" t="str">
        <f>_xlfn.XLOOKUP(E199&amp;F199&amp;G199&amp;H199&amp;I199&amp;J199&amp;K199&amp;L199&amp;M199&amp;N199&amp;O199&amp;P199,'[2]2.4 wsLookup'!$M$2:$M$96,'[2]2.4 wsLookup'!$N$2:$N$96,"Introuvable")</f>
        <v>Introuvable</v>
      </c>
      <c r="AD199" s="190" t="str">
        <f>_xlfn.XLOOKUP(E199&amp;F199&amp;G199&amp;H199&amp;I199&amp;J199&amp;K199&amp;L199&amp;M199&amp;N199&amp;O199&amp;P199,'[2]2.4 wsLookup'!$M$2:$M$96,'[2]2.4 wsLookup'!$O$2:$O$96,"Introuvable")</f>
        <v>Introuvable</v>
      </c>
      <c r="AE199" s="90" t="e">
        <f t="shared" si="18"/>
        <v>#VALUE!</v>
      </c>
      <c r="AF199" s="206" t="str">
        <f>_xlfn.XLOOKUP(E199&amp;F199&amp;G199&amp;H199&amp;I199&amp;J199&amp;K199&amp;L199&amp;M199&amp;N199&amp;O199&amp;P199,'[2]2.4 wsLookup'!$M$2:$M$96,'[2]2.4 wsLookup'!$Q$2:$Q$96,"Introuvable")</f>
        <v>Introuvable</v>
      </c>
      <c r="AG199" s="91" t="str">
        <f>_xlfn.XLOOKUP(E199&amp;F199&amp;G199&amp;H199&amp;I199&amp;J199&amp;K199&amp;L199&amp;M199&amp;N199&amp;O199&amp;P199,'[2]2.4 wsLookup'!$M$2:$M$96,'[2]2.4 wsLookup'!$P$2:$P$96,"Introuvable")</f>
        <v>Introuvable</v>
      </c>
      <c r="AH199" s="91" t="str">
        <f>_xlfn.XLOOKUP(E199&amp;F199&amp;G199&amp;H199&amp;I199&amp;J199&amp;K199&amp;L199&amp;M199&amp;N199&amp;O199&amp;P199,'[2]2.4 wsLookup'!$M$2:$M$96,'[2]2.4 wsLookup'!$R$2:$R$96,"Introuvable")</f>
        <v>Introuvable</v>
      </c>
      <c r="AI199" s="193" t="str">
        <f>_xlfn.XLOOKUP(E199&amp;F199&amp;G199&amp;H199&amp;I199&amp;J199&amp;K199&amp;L199&amp;M199&amp;N199&amp;O199&amp;P199,'[2]2.4 wsLookup'!$M$2:$M$96,'[2]2.4 wsLookup'!$S$2:$S$96,"Introuvable")</f>
        <v>Introuvable</v>
      </c>
      <c r="AK199" t="str">
        <f t="shared" si="17"/>
        <v>|-|-|-|-|-|-|-|-|-|-|-</v>
      </c>
      <c r="AO199" t="str">
        <f t="shared" si="12"/>
        <v>en localité|non|3|non|non|sûr|fluide|non|non|non|non|non|faible</v>
      </c>
    </row>
    <row r="200" spans="1:41" ht="39" customHeight="1">
      <c r="A200" s="1"/>
      <c r="B200" s="1"/>
      <c r="C200" s="188" t="s">
        <v>1915</v>
      </c>
      <c r="D200" s="227"/>
      <c r="E200" s="225"/>
      <c r="F200" s="225" t="s">
        <v>256</v>
      </c>
      <c r="G200" s="225" t="s">
        <v>256</v>
      </c>
      <c r="H200" s="225" t="s">
        <v>256</v>
      </c>
      <c r="I200" s="225" t="s">
        <v>256</v>
      </c>
      <c r="J200" s="320" t="s">
        <v>256</v>
      </c>
      <c r="K200" s="224" t="s">
        <v>256</v>
      </c>
      <c r="L200" s="224" t="s">
        <v>256</v>
      </c>
      <c r="M200" s="224" t="s">
        <v>256</v>
      </c>
      <c r="N200" s="224" t="s">
        <v>256</v>
      </c>
      <c r="O200" s="320" t="s">
        <v>256</v>
      </c>
      <c r="P200" s="226" t="s">
        <v>256</v>
      </c>
      <c r="Q200" s="374"/>
      <c r="R200" s="323" t="s">
        <v>1673</v>
      </c>
      <c r="S200" s="324" t="str">
        <f t="shared" si="13"/>
        <v/>
      </c>
      <c r="T200" s="325" t="str">
        <f t="shared" si="14"/>
        <v/>
      </c>
      <c r="U200" s="228" t="s">
        <v>1673</v>
      </c>
      <c r="V200" s="228" t="s">
        <v>1673</v>
      </c>
      <c r="W200" s="228" t="s">
        <v>1673</v>
      </c>
      <c r="X200" s="229" t="s">
        <v>1673</v>
      </c>
      <c r="Y200" s="288" t="str">
        <f t="shared" si="15"/>
        <v>non</v>
      </c>
      <c r="Z200" s="328" t="str">
        <f t="shared" si="16"/>
        <v/>
      </c>
      <c r="AA200" s="9"/>
      <c r="AB200" s="1"/>
      <c r="AC200" s="190" t="str">
        <f>_xlfn.XLOOKUP(E200&amp;F200&amp;G200&amp;H200&amp;I200&amp;J200&amp;K200&amp;L200&amp;M200&amp;N200&amp;O200&amp;P200,'[2]2.4 wsLookup'!$M$2:$M$96,'[2]2.4 wsLookup'!$N$2:$N$96,"Introuvable")</f>
        <v>Introuvable</v>
      </c>
      <c r="AD200" s="190" t="str">
        <f>_xlfn.XLOOKUP(E200&amp;F200&amp;G200&amp;H200&amp;I200&amp;J200&amp;K200&amp;L200&amp;M200&amp;N200&amp;O200&amp;P200,'[2]2.4 wsLookup'!$M$2:$M$96,'[2]2.4 wsLookup'!$O$2:$O$96,"Introuvable")</f>
        <v>Introuvable</v>
      </c>
      <c r="AE200" s="90" t="e">
        <f t="shared" si="18"/>
        <v>#VALUE!</v>
      </c>
      <c r="AF200" s="206" t="str">
        <f>_xlfn.XLOOKUP(E200&amp;F200&amp;G200&amp;H200&amp;I200&amp;J200&amp;K200&amp;L200&amp;M200&amp;N200&amp;O200&amp;P200,'[2]2.4 wsLookup'!$M$2:$M$96,'[2]2.4 wsLookup'!$Q$2:$Q$96,"Introuvable")</f>
        <v>Introuvable</v>
      </c>
      <c r="AG200" s="91" t="str">
        <f>_xlfn.XLOOKUP(E200&amp;F200&amp;G200&amp;H200&amp;I200&amp;J200&amp;K200&amp;L200&amp;M200&amp;N200&amp;O200&amp;P200,'[2]2.4 wsLookup'!$M$2:$M$96,'[2]2.4 wsLookup'!$P$2:$P$96,"Introuvable")</f>
        <v>Introuvable</v>
      </c>
      <c r="AH200" s="91" t="str">
        <f>_xlfn.XLOOKUP(E200&amp;F200&amp;G200&amp;H200&amp;I200&amp;J200&amp;K200&amp;L200&amp;M200&amp;N200&amp;O200&amp;P200,'[2]2.4 wsLookup'!$M$2:$M$96,'[2]2.4 wsLookup'!$R$2:$R$96,"Introuvable")</f>
        <v>Introuvable</v>
      </c>
      <c r="AI200" s="193" t="str">
        <f>_xlfn.XLOOKUP(E200&amp;F200&amp;G200&amp;H200&amp;I200&amp;J200&amp;K200&amp;L200&amp;M200&amp;N200&amp;O200&amp;P200,'[2]2.4 wsLookup'!$M$2:$M$96,'[2]2.4 wsLookup'!$S$2:$S$96,"Introuvable")</f>
        <v>Introuvable</v>
      </c>
      <c r="AK200" t="str">
        <f t="shared" si="17"/>
        <v>|-|-|-|-|-|-|-|-|-|-|-</v>
      </c>
      <c r="AO200" t="str">
        <f t="shared" si="12"/>
        <v>en localité|non|3|non|non|sûr|acceptable|non|non|non|non|non|moyen</v>
      </c>
    </row>
    <row r="201" spans="1:41" ht="39" customHeight="1">
      <c r="A201" s="1"/>
      <c r="B201" s="1"/>
      <c r="C201" s="188" t="s">
        <v>1916</v>
      </c>
      <c r="D201" s="227"/>
      <c r="E201" s="225"/>
      <c r="F201" s="225" t="s">
        <v>256</v>
      </c>
      <c r="G201" s="225" t="s">
        <v>256</v>
      </c>
      <c r="H201" s="225" t="s">
        <v>256</v>
      </c>
      <c r="I201" s="225" t="s">
        <v>256</v>
      </c>
      <c r="J201" s="320" t="s">
        <v>256</v>
      </c>
      <c r="K201" s="224" t="s">
        <v>256</v>
      </c>
      <c r="L201" s="224" t="s">
        <v>256</v>
      </c>
      <c r="M201" s="224" t="s">
        <v>256</v>
      </c>
      <c r="N201" s="224" t="s">
        <v>256</v>
      </c>
      <c r="O201" s="320" t="s">
        <v>256</v>
      </c>
      <c r="P201" s="226" t="s">
        <v>256</v>
      </c>
      <c r="Q201" s="374"/>
      <c r="R201" s="323" t="s">
        <v>1673</v>
      </c>
      <c r="S201" s="324" t="str">
        <f t="shared" si="13"/>
        <v/>
      </c>
      <c r="T201" s="325" t="str">
        <f t="shared" si="14"/>
        <v/>
      </c>
      <c r="U201" s="228" t="s">
        <v>1673</v>
      </c>
      <c r="V201" s="228" t="s">
        <v>1673</v>
      </c>
      <c r="W201" s="228" t="s">
        <v>1673</v>
      </c>
      <c r="X201" s="229" t="s">
        <v>1673</v>
      </c>
      <c r="Y201" s="288" t="str">
        <f t="shared" si="15"/>
        <v>non</v>
      </c>
      <c r="Z201" s="328" t="str">
        <f t="shared" si="16"/>
        <v/>
      </c>
      <c r="AA201" s="9"/>
      <c r="AB201" s="1"/>
      <c r="AC201" s="190" t="str">
        <f>_xlfn.XLOOKUP(E201&amp;F201&amp;G201&amp;H201&amp;I201&amp;J201&amp;K201&amp;L201&amp;M201&amp;N201&amp;O201&amp;P201,'[2]2.4 wsLookup'!$M$2:$M$96,'[2]2.4 wsLookup'!$N$2:$N$96,"Introuvable")</f>
        <v>Introuvable</v>
      </c>
      <c r="AD201" s="190" t="str">
        <f>_xlfn.XLOOKUP(E201&amp;F201&amp;G201&amp;H201&amp;I201&amp;J201&amp;K201&amp;L201&amp;M201&amp;N201&amp;O201&amp;P201,'[2]2.4 wsLookup'!$M$2:$M$96,'[2]2.4 wsLookup'!$O$2:$O$96,"Introuvable")</f>
        <v>Introuvable</v>
      </c>
      <c r="AE201" s="90" t="e">
        <f t="shared" si="18"/>
        <v>#VALUE!</v>
      </c>
      <c r="AF201" s="206" t="str">
        <f>_xlfn.XLOOKUP(E201&amp;F201&amp;G201&amp;H201&amp;I201&amp;J201&amp;K201&amp;L201&amp;M201&amp;N201&amp;O201&amp;P201,'[2]2.4 wsLookup'!$M$2:$M$96,'[2]2.4 wsLookup'!$Q$2:$Q$96,"Introuvable")</f>
        <v>Introuvable</v>
      </c>
      <c r="AG201" s="91" t="str">
        <f>_xlfn.XLOOKUP(E201&amp;F201&amp;G201&amp;H201&amp;I201&amp;J201&amp;K201&amp;L201&amp;M201&amp;N201&amp;O201&amp;P201,'[2]2.4 wsLookup'!$M$2:$M$96,'[2]2.4 wsLookup'!$P$2:$P$96,"Introuvable")</f>
        <v>Introuvable</v>
      </c>
      <c r="AH201" s="91" t="str">
        <f>_xlfn.XLOOKUP(E201&amp;F201&amp;G201&amp;H201&amp;I201&amp;J201&amp;K201&amp;L201&amp;M201&amp;N201&amp;O201&amp;P201,'[2]2.4 wsLookup'!$M$2:$M$96,'[2]2.4 wsLookup'!$R$2:$R$96,"Introuvable")</f>
        <v>Introuvable</v>
      </c>
      <c r="AI201" s="193" t="str">
        <f>_xlfn.XLOOKUP(E201&amp;F201&amp;G201&amp;H201&amp;I201&amp;J201&amp;K201&amp;L201&amp;M201&amp;N201&amp;O201&amp;P201,'[2]2.4 wsLookup'!$M$2:$M$96,'[2]2.4 wsLookup'!$S$2:$S$96,"Introuvable")</f>
        <v>Introuvable</v>
      </c>
      <c r="AK201" t="str">
        <f t="shared" si="17"/>
        <v>|-|-|-|-|-|-|-|-|-|-|-</v>
      </c>
      <c r="AO201" t="str">
        <f t="shared" si="12"/>
        <v>en localité|non|&gt;3|non|non|acceptable|fluide|non|non|non|non|non|moyen</v>
      </c>
    </row>
    <row r="202" spans="1:41" ht="39" customHeight="1">
      <c r="A202" s="1"/>
      <c r="B202" s="1"/>
      <c r="C202" s="188" t="s">
        <v>1917</v>
      </c>
      <c r="D202" s="227"/>
      <c r="E202" s="225"/>
      <c r="F202" s="225" t="s">
        <v>256</v>
      </c>
      <c r="G202" s="225" t="s">
        <v>256</v>
      </c>
      <c r="H202" s="225" t="s">
        <v>256</v>
      </c>
      <c r="I202" s="225" t="s">
        <v>256</v>
      </c>
      <c r="J202" s="320" t="s">
        <v>256</v>
      </c>
      <c r="K202" s="224" t="s">
        <v>256</v>
      </c>
      <c r="L202" s="224" t="s">
        <v>256</v>
      </c>
      <c r="M202" s="224" t="s">
        <v>256</v>
      </c>
      <c r="N202" s="224" t="s">
        <v>256</v>
      </c>
      <c r="O202" s="320" t="s">
        <v>256</v>
      </c>
      <c r="P202" s="226" t="s">
        <v>256</v>
      </c>
      <c r="Q202" s="374"/>
      <c r="R202" s="323" t="s">
        <v>1673</v>
      </c>
      <c r="S202" s="324" t="str">
        <f t="shared" si="13"/>
        <v/>
      </c>
      <c r="T202" s="325" t="str">
        <f t="shared" si="14"/>
        <v/>
      </c>
      <c r="U202" s="228" t="s">
        <v>1673</v>
      </c>
      <c r="V202" s="228" t="s">
        <v>1673</v>
      </c>
      <c r="W202" s="228" t="s">
        <v>1673</v>
      </c>
      <c r="X202" s="229" t="s">
        <v>1673</v>
      </c>
      <c r="Y202" s="288" t="str">
        <f t="shared" si="15"/>
        <v>non</v>
      </c>
      <c r="Z202" s="328" t="str">
        <f t="shared" si="16"/>
        <v/>
      </c>
      <c r="AA202" s="9"/>
      <c r="AB202" s="1"/>
      <c r="AC202" s="190" t="str">
        <f>_xlfn.XLOOKUP(E202&amp;F202&amp;G202&amp;H202&amp;I202&amp;J202&amp;K202&amp;L202&amp;M202&amp;N202&amp;O202&amp;P202,'[2]2.4 wsLookup'!$M$2:$M$96,'[2]2.4 wsLookup'!$N$2:$N$96,"Introuvable")</f>
        <v>Introuvable</v>
      </c>
      <c r="AD202" s="190" t="str">
        <f>_xlfn.XLOOKUP(E202&amp;F202&amp;G202&amp;H202&amp;I202&amp;J202&amp;K202&amp;L202&amp;M202&amp;N202&amp;O202&amp;P202,'[2]2.4 wsLookup'!$M$2:$M$96,'[2]2.4 wsLookup'!$O$2:$O$96,"Introuvable")</f>
        <v>Introuvable</v>
      </c>
      <c r="AE202" s="90" t="e">
        <f t="shared" si="18"/>
        <v>#VALUE!</v>
      </c>
      <c r="AF202" s="206" t="str">
        <f>_xlfn.XLOOKUP(E202&amp;F202&amp;G202&amp;H202&amp;I202&amp;J202&amp;K202&amp;L202&amp;M202&amp;N202&amp;O202&amp;P202,'[2]2.4 wsLookup'!$M$2:$M$96,'[2]2.4 wsLookup'!$Q$2:$Q$96,"Introuvable")</f>
        <v>Introuvable</v>
      </c>
      <c r="AG202" s="91" t="str">
        <f>_xlfn.XLOOKUP(E202&amp;F202&amp;G202&amp;H202&amp;I202&amp;J202&amp;K202&amp;L202&amp;M202&amp;N202&amp;O202&amp;P202,'[2]2.4 wsLookup'!$M$2:$M$96,'[2]2.4 wsLookup'!$P$2:$P$96,"Introuvable")</f>
        <v>Introuvable</v>
      </c>
      <c r="AH202" s="91" t="str">
        <f>_xlfn.XLOOKUP(E202&amp;F202&amp;G202&amp;H202&amp;I202&amp;J202&amp;K202&amp;L202&amp;M202&amp;N202&amp;O202&amp;P202,'[2]2.4 wsLookup'!$M$2:$M$96,'[2]2.4 wsLookup'!$R$2:$R$96,"Introuvable")</f>
        <v>Introuvable</v>
      </c>
      <c r="AI202" s="193" t="str">
        <f>_xlfn.XLOOKUP(E202&amp;F202&amp;G202&amp;H202&amp;I202&amp;J202&amp;K202&amp;L202&amp;M202&amp;N202&amp;O202&amp;P202,'[2]2.4 wsLookup'!$M$2:$M$96,'[2]2.4 wsLookup'!$S$2:$S$96,"Introuvable")</f>
        <v>Introuvable</v>
      </c>
      <c r="AK202" t="str">
        <f t="shared" si="17"/>
        <v>|-|-|-|-|-|-|-|-|-|-|-</v>
      </c>
      <c r="AO202" t="str">
        <f t="shared" si="12"/>
        <v>en localité|non|3|non|non|sûr|fluide|non|non|non|non|non|faible</v>
      </c>
    </row>
    <row r="203" spans="1:41" ht="39" customHeight="1">
      <c r="A203" s="1"/>
      <c r="B203" s="1"/>
      <c r="C203" s="188" t="s">
        <v>1918</v>
      </c>
      <c r="D203" s="227"/>
      <c r="E203" s="225"/>
      <c r="F203" s="225" t="s">
        <v>256</v>
      </c>
      <c r="G203" s="225" t="s">
        <v>256</v>
      </c>
      <c r="H203" s="225" t="s">
        <v>256</v>
      </c>
      <c r="I203" s="225" t="s">
        <v>256</v>
      </c>
      <c r="J203" s="320" t="s">
        <v>256</v>
      </c>
      <c r="K203" s="224" t="s">
        <v>256</v>
      </c>
      <c r="L203" s="224" t="s">
        <v>256</v>
      </c>
      <c r="M203" s="224" t="s">
        <v>256</v>
      </c>
      <c r="N203" s="224" t="s">
        <v>256</v>
      </c>
      <c r="O203" s="320" t="s">
        <v>256</v>
      </c>
      <c r="P203" s="226" t="s">
        <v>256</v>
      </c>
      <c r="Q203" s="374"/>
      <c r="R203" s="323" t="s">
        <v>1673</v>
      </c>
      <c r="S203" s="324" t="str">
        <f t="shared" si="13"/>
        <v/>
      </c>
      <c r="T203" s="325" t="str">
        <f t="shared" si="14"/>
        <v/>
      </c>
      <c r="U203" s="228" t="s">
        <v>1673</v>
      </c>
      <c r="V203" s="228" t="s">
        <v>1673</v>
      </c>
      <c r="W203" s="228" t="s">
        <v>1673</v>
      </c>
      <c r="X203" s="229" t="s">
        <v>1673</v>
      </c>
      <c r="Y203" s="288" t="str">
        <f t="shared" si="15"/>
        <v>non</v>
      </c>
      <c r="Z203" s="328" t="str">
        <f t="shared" si="16"/>
        <v/>
      </c>
      <c r="AA203" s="9"/>
      <c r="AB203" s="1"/>
      <c r="AC203" s="190" t="str">
        <f>_xlfn.XLOOKUP(E203&amp;F203&amp;G203&amp;H203&amp;I203&amp;J203&amp;K203&amp;L203&amp;M203&amp;N203&amp;O203&amp;P203,'[2]2.4 wsLookup'!$M$2:$M$96,'[2]2.4 wsLookup'!$N$2:$N$96,"Introuvable")</f>
        <v>Introuvable</v>
      </c>
      <c r="AD203" s="190" t="str">
        <f>_xlfn.XLOOKUP(E203&amp;F203&amp;G203&amp;H203&amp;I203&amp;J203&amp;K203&amp;L203&amp;M203&amp;N203&amp;O203&amp;P203,'[2]2.4 wsLookup'!$M$2:$M$96,'[2]2.4 wsLookup'!$O$2:$O$96,"Introuvable")</f>
        <v>Introuvable</v>
      </c>
      <c r="AE203" s="90" t="e">
        <f t="shared" si="18"/>
        <v>#VALUE!</v>
      </c>
      <c r="AF203" s="206" t="str">
        <f>_xlfn.XLOOKUP(E203&amp;F203&amp;G203&amp;H203&amp;I203&amp;J203&amp;K203&amp;L203&amp;M203&amp;N203&amp;O203&amp;P203,'[2]2.4 wsLookup'!$M$2:$M$96,'[2]2.4 wsLookup'!$Q$2:$Q$96,"Introuvable")</f>
        <v>Introuvable</v>
      </c>
      <c r="AG203" s="91" t="str">
        <f>_xlfn.XLOOKUP(E203&amp;F203&amp;G203&amp;H203&amp;I203&amp;J203&amp;K203&amp;L203&amp;M203&amp;N203&amp;O203&amp;P203,'[2]2.4 wsLookup'!$M$2:$M$96,'[2]2.4 wsLookup'!$P$2:$P$96,"Introuvable")</f>
        <v>Introuvable</v>
      </c>
      <c r="AH203" s="91" t="str">
        <f>_xlfn.XLOOKUP(E203&amp;F203&amp;G203&amp;H203&amp;I203&amp;J203&amp;K203&amp;L203&amp;M203&amp;N203&amp;O203&amp;P203,'[2]2.4 wsLookup'!$M$2:$M$96,'[2]2.4 wsLookup'!$R$2:$R$96,"Introuvable")</f>
        <v>Introuvable</v>
      </c>
      <c r="AI203" s="193" t="str">
        <f>_xlfn.XLOOKUP(E203&amp;F203&amp;G203&amp;H203&amp;I203&amp;J203&amp;K203&amp;L203&amp;M203&amp;N203&amp;O203&amp;P203,'[2]2.4 wsLookup'!$M$2:$M$96,'[2]2.4 wsLookup'!$S$2:$S$96,"Introuvable")</f>
        <v>Introuvable</v>
      </c>
      <c r="AK203" t="str">
        <f t="shared" si="17"/>
        <v>|-|-|-|-|-|-|-|-|-|-|-</v>
      </c>
      <c r="AO203" t="str">
        <f t="shared" si="12"/>
        <v>en localité|non|&gt;3|non|non|acceptable|acceptable|non|non|non|non|non|moyen</v>
      </c>
    </row>
    <row r="204" spans="1:41" ht="39" customHeight="1">
      <c r="A204" s="1"/>
      <c r="B204" s="1"/>
      <c r="C204" s="188" t="s">
        <v>1919</v>
      </c>
      <c r="D204" s="227"/>
      <c r="E204" s="225"/>
      <c r="F204" s="225" t="s">
        <v>256</v>
      </c>
      <c r="G204" s="225" t="s">
        <v>256</v>
      </c>
      <c r="H204" s="225" t="s">
        <v>256</v>
      </c>
      <c r="I204" s="225" t="s">
        <v>256</v>
      </c>
      <c r="J204" s="320" t="s">
        <v>256</v>
      </c>
      <c r="K204" s="224" t="s">
        <v>256</v>
      </c>
      <c r="L204" s="224" t="s">
        <v>256</v>
      </c>
      <c r="M204" s="224" t="s">
        <v>256</v>
      </c>
      <c r="N204" s="224" t="s">
        <v>256</v>
      </c>
      <c r="O204" s="320" t="s">
        <v>256</v>
      </c>
      <c r="P204" s="226" t="s">
        <v>256</v>
      </c>
      <c r="Q204" s="374"/>
      <c r="R204" s="323" t="s">
        <v>1673</v>
      </c>
      <c r="S204" s="324" t="str">
        <f t="shared" si="13"/>
        <v/>
      </c>
      <c r="T204" s="325" t="str">
        <f t="shared" si="14"/>
        <v/>
      </c>
      <c r="U204" s="228" t="s">
        <v>1673</v>
      </c>
      <c r="V204" s="228" t="s">
        <v>1673</v>
      </c>
      <c r="W204" s="228" t="s">
        <v>1673</v>
      </c>
      <c r="X204" s="229" t="s">
        <v>1673</v>
      </c>
      <c r="Y204" s="288" t="str">
        <f t="shared" si="15"/>
        <v>non</v>
      </c>
      <c r="Z204" s="328" t="str">
        <f t="shared" si="16"/>
        <v/>
      </c>
      <c r="AA204" s="9"/>
      <c r="AB204" s="1"/>
      <c r="AC204" s="190" t="str">
        <f>_xlfn.XLOOKUP(E204&amp;F204&amp;G204&amp;H204&amp;I204&amp;J204&amp;K204&amp;L204&amp;M204&amp;N204&amp;O204&amp;P204,'[2]2.4 wsLookup'!$M$2:$M$96,'[2]2.4 wsLookup'!$N$2:$N$96,"Introuvable")</f>
        <v>Introuvable</v>
      </c>
      <c r="AD204" s="190" t="str">
        <f>_xlfn.XLOOKUP(E204&amp;F204&amp;G204&amp;H204&amp;I204&amp;J204&amp;K204&amp;L204&amp;M204&amp;N204&amp;O204&amp;P204,'[2]2.4 wsLookup'!$M$2:$M$96,'[2]2.4 wsLookup'!$O$2:$O$96,"Introuvable")</f>
        <v>Introuvable</v>
      </c>
      <c r="AE204" s="90" t="e">
        <f t="shared" si="18"/>
        <v>#VALUE!</v>
      </c>
      <c r="AF204" s="206" t="str">
        <f>_xlfn.XLOOKUP(E204&amp;F204&amp;G204&amp;H204&amp;I204&amp;J204&amp;K204&amp;L204&amp;M204&amp;N204&amp;O204&amp;P204,'[2]2.4 wsLookup'!$M$2:$M$96,'[2]2.4 wsLookup'!$Q$2:$Q$96,"Introuvable")</f>
        <v>Introuvable</v>
      </c>
      <c r="AG204" s="91" t="str">
        <f>_xlfn.XLOOKUP(E204&amp;F204&amp;G204&amp;H204&amp;I204&amp;J204&amp;K204&amp;L204&amp;M204&amp;N204&amp;O204&amp;P204,'[2]2.4 wsLookup'!$M$2:$M$96,'[2]2.4 wsLookup'!$P$2:$P$96,"Introuvable")</f>
        <v>Introuvable</v>
      </c>
      <c r="AH204" s="91" t="str">
        <f>_xlfn.XLOOKUP(E204&amp;F204&amp;G204&amp;H204&amp;I204&amp;J204&amp;K204&amp;L204&amp;M204&amp;N204&amp;O204&amp;P204,'[2]2.4 wsLookup'!$M$2:$M$96,'[2]2.4 wsLookup'!$R$2:$R$96,"Introuvable")</f>
        <v>Introuvable</v>
      </c>
      <c r="AI204" s="193" t="str">
        <f>_xlfn.XLOOKUP(E204&amp;F204&amp;G204&amp;H204&amp;I204&amp;J204&amp;K204&amp;L204&amp;M204&amp;N204&amp;O204&amp;P204,'[2]2.4 wsLookup'!$M$2:$M$96,'[2]2.4 wsLookup'!$S$2:$S$96,"Introuvable")</f>
        <v>Introuvable</v>
      </c>
      <c r="AK204" t="str">
        <f t="shared" si="17"/>
        <v>|-|-|-|-|-|-|-|-|-|-|-</v>
      </c>
      <c r="AO204" t="str">
        <f t="shared" si="12"/>
        <v>en localité|non|&gt;3|oui|non|sûr|fluide|non|non|non|non|non|faible</v>
      </c>
    </row>
    <row r="205" spans="1:41" ht="39" customHeight="1">
      <c r="A205" s="1"/>
      <c r="B205" s="1"/>
      <c r="C205" s="188" t="s">
        <v>1920</v>
      </c>
      <c r="D205" s="227"/>
      <c r="E205" s="225"/>
      <c r="F205" s="225" t="s">
        <v>256</v>
      </c>
      <c r="G205" s="225" t="s">
        <v>256</v>
      </c>
      <c r="H205" s="225" t="s">
        <v>256</v>
      </c>
      <c r="I205" s="225" t="s">
        <v>256</v>
      </c>
      <c r="J205" s="320" t="s">
        <v>256</v>
      </c>
      <c r="K205" s="224" t="s">
        <v>256</v>
      </c>
      <c r="L205" s="224" t="s">
        <v>256</v>
      </c>
      <c r="M205" s="224" t="s">
        <v>256</v>
      </c>
      <c r="N205" s="224" t="s">
        <v>256</v>
      </c>
      <c r="O205" s="320" t="s">
        <v>256</v>
      </c>
      <c r="P205" s="226" t="s">
        <v>256</v>
      </c>
      <c r="Q205" s="374"/>
      <c r="R205" s="323" t="s">
        <v>1673</v>
      </c>
      <c r="S205" s="324" t="str">
        <f t="shared" si="13"/>
        <v/>
      </c>
      <c r="T205" s="325" t="str">
        <f t="shared" si="14"/>
        <v/>
      </c>
      <c r="U205" s="228" t="s">
        <v>1673</v>
      </c>
      <c r="V205" s="228" t="s">
        <v>1673</v>
      </c>
      <c r="W205" s="228" t="s">
        <v>1673</v>
      </c>
      <c r="X205" s="229" t="s">
        <v>1673</v>
      </c>
      <c r="Y205" s="288" t="str">
        <f t="shared" si="15"/>
        <v>non</v>
      </c>
      <c r="Z205" s="328" t="str">
        <f t="shared" si="16"/>
        <v/>
      </c>
      <c r="AA205" s="9"/>
      <c r="AB205" s="1"/>
      <c r="AC205" s="190" t="str">
        <f>_xlfn.XLOOKUP(E205&amp;F205&amp;G205&amp;H205&amp;I205&amp;J205&amp;K205&amp;L205&amp;M205&amp;N205&amp;O205&amp;P205,'[2]2.4 wsLookup'!$M$2:$M$96,'[2]2.4 wsLookup'!$N$2:$N$96,"Introuvable")</f>
        <v>Introuvable</v>
      </c>
      <c r="AD205" s="190" t="str">
        <f>_xlfn.XLOOKUP(E205&amp;F205&amp;G205&amp;H205&amp;I205&amp;J205&amp;K205&amp;L205&amp;M205&amp;N205&amp;O205&amp;P205,'[2]2.4 wsLookup'!$M$2:$M$96,'[2]2.4 wsLookup'!$O$2:$O$96,"Introuvable")</f>
        <v>Introuvable</v>
      </c>
      <c r="AE205" s="90" t="e">
        <f t="shared" si="18"/>
        <v>#VALUE!</v>
      </c>
      <c r="AF205" s="206" t="str">
        <f>_xlfn.XLOOKUP(E205&amp;F205&amp;G205&amp;H205&amp;I205&amp;J205&amp;K205&amp;L205&amp;M205&amp;N205&amp;O205&amp;P205,'[2]2.4 wsLookup'!$M$2:$M$96,'[2]2.4 wsLookup'!$Q$2:$Q$96,"Introuvable")</f>
        <v>Introuvable</v>
      </c>
      <c r="AG205" s="91" t="str">
        <f>_xlfn.XLOOKUP(E205&amp;F205&amp;G205&amp;H205&amp;I205&amp;J205&amp;K205&amp;L205&amp;M205&amp;N205&amp;O205&amp;P205,'[2]2.4 wsLookup'!$M$2:$M$96,'[2]2.4 wsLookup'!$P$2:$P$96,"Introuvable")</f>
        <v>Introuvable</v>
      </c>
      <c r="AH205" s="91" t="str">
        <f>_xlfn.XLOOKUP(E205&amp;F205&amp;G205&amp;H205&amp;I205&amp;J205&amp;K205&amp;L205&amp;M205&amp;N205&amp;O205&amp;P205,'[2]2.4 wsLookup'!$M$2:$M$96,'[2]2.4 wsLookup'!$R$2:$R$96,"Introuvable")</f>
        <v>Introuvable</v>
      </c>
      <c r="AI205" s="193" t="str">
        <f>_xlfn.XLOOKUP(E205&amp;F205&amp;G205&amp;H205&amp;I205&amp;J205&amp;K205&amp;L205&amp;M205&amp;N205&amp;O205&amp;P205,'[2]2.4 wsLookup'!$M$2:$M$96,'[2]2.4 wsLookup'!$S$2:$S$96,"Introuvable")</f>
        <v>Introuvable</v>
      </c>
      <c r="AK205" t="str">
        <f t="shared" si="17"/>
        <v>|-|-|-|-|-|-|-|-|-|-|-</v>
      </c>
      <c r="AO205" t="str">
        <f t="shared" ref="AO205:AO215" si="19">E81 &amp; "|" &amp; F81 &amp; "|" &amp; G81 &amp; "|" &amp; H81 &amp; "|" &amp; I81 &amp; "|" &amp; S81 &amp; "|" &amp; T81 &amp; "|" &amp; U81 &amp; "|" &amp; V81 &amp; "|" &amp; W81 &amp; "|" &amp; X81 &amp; "|" &amp; Y81 &amp; "|" &amp; Z81</f>
        <v>en localité|-|-|-|-|acceptable|acceptable|non|non|non|non|non|moyen</v>
      </c>
    </row>
    <row r="206" spans="1:41" ht="39" customHeight="1">
      <c r="A206" s="1"/>
      <c r="B206" s="1"/>
      <c r="C206" s="188" t="s">
        <v>1921</v>
      </c>
      <c r="D206" s="227"/>
      <c r="E206" s="225"/>
      <c r="F206" s="225" t="s">
        <v>256</v>
      </c>
      <c r="G206" s="225" t="s">
        <v>256</v>
      </c>
      <c r="H206" s="225" t="s">
        <v>256</v>
      </c>
      <c r="I206" s="225" t="s">
        <v>256</v>
      </c>
      <c r="J206" s="320" t="s">
        <v>256</v>
      </c>
      <c r="K206" s="224" t="s">
        <v>256</v>
      </c>
      <c r="L206" s="224" t="s">
        <v>256</v>
      </c>
      <c r="M206" s="224" t="s">
        <v>256</v>
      </c>
      <c r="N206" s="224" t="s">
        <v>256</v>
      </c>
      <c r="O206" s="320" t="s">
        <v>256</v>
      </c>
      <c r="P206" s="226" t="s">
        <v>256</v>
      </c>
      <c r="Q206" s="374"/>
      <c r="R206" s="323" t="s">
        <v>1673</v>
      </c>
      <c r="S206" s="324" t="str">
        <f t="shared" si="13"/>
        <v/>
      </c>
      <c r="T206" s="325" t="str">
        <f t="shared" si="14"/>
        <v/>
      </c>
      <c r="U206" s="228" t="s">
        <v>1673</v>
      </c>
      <c r="V206" s="228" t="s">
        <v>1673</v>
      </c>
      <c r="W206" s="228" t="s">
        <v>1673</v>
      </c>
      <c r="X206" s="229" t="s">
        <v>1673</v>
      </c>
      <c r="Y206" s="288" t="str">
        <f t="shared" si="15"/>
        <v>non</v>
      </c>
      <c r="Z206" s="328" t="str">
        <f t="shared" si="16"/>
        <v/>
      </c>
      <c r="AA206" s="9"/>
      <c r="AB206" s="1"/>
      <c r="AC206" s="190" t="str">
        <f>_xlfn.XLOOKUP(E206&amp;F206&amp;G206&amp;H206&amp;I206&amp;J206&amp;K206&amp;L206&amp;M206&amp;N206&amp;O206&amp;P206,'[2]2.4 wsLookup'!$M$2:$M$96,'[2]2.4 wsLookup'!$N$2:$N$96,"Introuvable")</f>
        <v>Introuvable</v>
      </c>
      <c r="AD206" s="190" t="str">
        <f>_xlfn.XLOOKUP(E206&amp;F206&amp;G206&amp;H206&amp;I206&amp;J206&amp;K206&amp;L206&amp;M206&amp;N206&amp;O206&amp;P206,'[2]2.4 wsLookup'!$M$2:$M$96,'[2]2.4 wsLookup'!$O$2:$O$96,"Introuvable")</f>
        <v>Introuvable</v>
      </c>
      <c r="AE206" s="90" t="e">
        <f t="shared" si="18"/>
        <v>#VALUE!</v>
      </c>
      <c r="AF206" s="206" t="str">
        <f>_xlfn.XLOOKUP(E206&amp;F206&amp;G206&amp;H206&amp;I206&amp;J206&amp;K206&amp;L206&amp;M206&amp;N206&amp;O206&amp;P206,'[2]2.4 wsLookup'!$M$2:$M$96,'[2]2.4 wsLookup'!$Q$2:$Q$96,"Introuvable")</f>
        <v>Introuvable</v>
      </c>
      <c r="AG206" s="91" t="str">
        <f>_xlfn.XLOOKUP(E206&amp;F206&amp;G206&amp;H206&amp;I206&amp;J206&amp;K206&amp;L206&amp;M206&amp;N206&amp;O206&amp;P206,'[2]2.4 wsLookup'!$M$2:$M$96,'[2]2.4 wsLookup'!$P$2:$P$96,"Introuvable")</f>
        <v>Introuvable</v>
      </c>
      <c r="AH206" s="91" t="str">
        <f>_xlfn.XLOOKUP(E206&amp;F206&amp;G206&amp;H206&amp;I206&amp;J206&amp;K206&amp;L206&amp;M206&amp;N206&amp;O206&amp;P206,'[2]2.4 wsLookup'!$M$2:$M$96,'[2]2.4 wsLookup'!$R$2:$R$96,"Introuvable")</f>
        <v>Introuvable</v>
      </c>
      <c r="AI206" s="193" t="str">
        <f>_xlfn.XLOOKUP(E206&amp;F206&amp;G206&amp;H206&amp;I206&amp;J206&amp;K206&amp;L206&amp;M206&amp;N206&amp;O206&amp;P206,'[2]2.4 wsLookup'!$M$2:$M$96,'[2]2.4 wsLookup'!$S$2:$S$96,"Introuvable")</f>
        <v>Introuvable</v>
      </c>
      <c r="AK206" t="str">
        <f t="shared" si="17"/>
        <v>|-|-|-|-|-|-|-|-|-|-|-</v>
      </c>
      <c r="AO206" t="str">
        <f t="shared" si="19"/>
        <v>en localité|-|-|-|-|critique|acceptable|non|non|non|non|non|élevé</v>
      </c>
    </row>
    <row r="207" spans="1:41" ht="39" customHeight="1">
      <c r="A207" s="1"/>
      <c r="B207" s="1"/>
      <c r="C207" s="188" t="s">
        <v>1922</v>
      </c>
      <c r="D207" s="227"/>
      <c r="E207" s="225"/>
      <c r="F207" s="225" t="s">
        <v>256</v>
      </c>
      <c r="G207" s="225" t="s">
        <v>256</v>
      </c>
      <c r="H207" s="225" t="s">
        <v>256</v>
      </c>
      <c r="I207" s="225" t="s">
        <v>256</v>
      </c>
      <c r="J207" s="320" t="s">
        <v>256</v>
      </c>
      <c r="K207" s="224" t="s">
        <v>256</v>
      </c>
      <c r="L207" s="224" t="s">
        <v>256</v>
      </c>
      <c r="M207" s="224" t="s">
        <v>256</v>
      </c>
      <c r="N207" s="224" t="s">
        <v>256</v>
      </c>
      <c r="O207" s="320" t="s">
        <v>256</v>
      </c>
      <c r="P207" s="226" t="s">
        <v>256</v>
      </c>
      <c r="Q207" s="374"/>
      <c r="R207" s="323" t="s">
        <v>1673</v>
      </c>
      <c r="S207" s="324" t="str">
        <f t="shared" si="13"/>
        <v/>
      </c>
      <c r="T207" s="325" t="str">
        <f t="shared" si="14"/>
        <v/>
      </c>
      <c r="U207" s="228" t="s">
        <v>1673</v>
      </c>
      <c r="V207" s="228" t="s">
        <v>1673</v>
      </c>
      <c r="W207" s="228" t="s">
        <v>1673</v>
      </c>
      <c r="X207" s="229" t="s">
        <v>1673</v>
      </c>
      <c r="Y207" s="288" t="str">
        <f t="shared" si="15"/>
        <v>non</v>
      </c>
      <c r="Z207" s="328" t="str">
        <f t="shared" si="16"/>
        <v/>
      </c>
      <c r="AA207" s="9"/>
      <c r="AB207" s="1"/>
      <c r="AC207" s="190" t="str">
        <f>_xlfn.XLOOKUP(E207&amp;F207&amp;G207&amp;H207&amp;I207&amp;J207&amp;K207&amp;L207&amp;M207&amp;N207&amp;O207&amp;P207,'[2]2.4 wsLookup'!$M$2:$M$96,'[2]2.4 wsLookup'!$N$2:$N$96,"Introuvable")</f>
        <v>Introuvable</v>
      </c>
      <c r="AD207" s="190" t="str">
        <f>_xlfn.XLOOKUP(E207&amp;F207&amp;G207&amp;H207&amp;I207&amp;J207&amp;K207&amp;L207&amp;M207&amp;N207&amp;O207&amp;P207,'[2]2.4 wsLookup'!$M$2:$M$96,'[2]2.4 wsLookup'!$O$2:$O$96,"Introuvable")</f>
        <v>Introuvable</v>
      </c>
      <c r="AE207" s="90" t="e">
        <f t="shared" si="18"/>
        <v>#VALUE!</v>
      </c>
      <c r="AF207" s="206" t="str">
        <f>_xlfn.XLOOKUP(E207&amp;F207&amp;G207&amp;H207&amp;I207&amp;J207&amp;K207&amp;L207&amp;M207&amp;N207&amp;O207&amp;P207,'[2]2.4 wsLookup'!$M$2:$M$96,'[2]2.4 wsLookup'!$Q$2:$Q$96,"Introuvable")</f>
        <v>Introuvable</v>
      </c>
      <c r="AG207" s="91" t="str">
        <f>_xlfn.XLOOKUP(E207&amp;F207&amp;G207&amp;H207&amp;I207&amp;J207&amp;K207&amp;L207&amp;M207&amp;N207&amp;O207&amp;P207,'[2]2.4 wsLookup'!$M$2:$M$96,'[2]2.4 wsLookup'!$P$2:$P$96,"Introuvable")</f>
        <v>Introuvable</v>
      </c>
      <c r="AH207" s="91" t="str">
        <f>_xlfn.XLOOKUP(E207&amp;F207&amp;G207&amp;H207&amp;I207&amp;J207&amp;K207&amp;L207&amp;M207&amp;N207&amp;O207&amp;P207,'[2]2.4 wsLookup'!$M$2:$M$96,'[2]2.4 wsLookup'!$R$2:$R$96,"Introuvable")</f>
        <v>Introuvable</v>
      </c>
      <c r="AI207" s="193" t="str">
        <f>_xlfn.XLOOKUP(E207&amp;F207&amp;G207&amp;H207&amp;I207&amp;J207&amp;K207&amp;L207&amp;M207&amp;N207&amp;O207&amp;P207,'[2]2.4 wsLookup'!$M$2:$M$96,'[2]2.4 wsLookup'!$S$2:$S$96,"Introuvable")</f>
        <v>Introuvable</v>
      </c>
      <c r="AK207" t="str">
        <f t="shared" si="17"/>
        <v>|-|-|-|-|-|-|-|-|-|-|-</v>
      </c>
      <c r="AO207" t="str">
        <f t="shared" si="19"/>
        <v>en localité|-|-|-|-|acceptable|acceptable|non|non|non|non|non|moyen</v>
      </c>
    </row>
    <row r="208" spans="1:41" ht="39" customHeight="1">
      <c r="A208" s="1"/>
      <c r="B208" s="1"/>
      <c r="C208" s="188" t="s">
        <v>1923</v>
      </c>
      <c r="D208" s="227"/>
      <c r="E208" s="225"/>
      <c r="F208" s="225" t="s">
        <v>256</v>
      </c>
      <c r="G208" s="225" t="s">
        <v>256</v>
      </c>
      <c r="H208" s="225" t="s">
        <v>256</v>
      </c>
      <c r="I208" s="225" t="s">
        <v>256</v>
      </c>
      <c r="J208" s="320" t="s">
        <v>256</v>
      </c>
      <c r="K208" s="224" t="s">
        <v>256</v>
      </c>
      <c r="L208" s="224" t="s">
        <v>256</v>
      </c>
      <c r="M208" s="224" t="s">
        <v>256</v>
      </c>
      <c r="N208" s="224" t="s">
        <v>256</v>
      </c>
      <c r="O208" s="320" t="s">
        <v>256</v>
      </c>
      <c r="P208" s="226" t="s">
        <v>256</v>
      </c>
      <c r="Q208" s="374"/>
      <c r="R208" s="323" t="s">
        <v>1673</v>
      </c>
      <c r="S208" s="324" t="str">
        <f t="shared" si="13"/>
        <v/>
      </c>
      <c r="T208" s="325" t="str">
        <f t="shared" si="14"/>
        <v/>
      </c>
      <c r="U208" s="228" t="s">
        <v>1673</v>
      </c>
      <c r="V208" s="228" t="s">
        <v>1673</v>
      </c>
      <c r="W208" s="228" t="s">
        <v>1673</v>
      </c>
      <c r="X208" s="229" t="s">
        <v>1673</v>
      </c>
      <c r="Y208" s="288" t="str">
        <f t="shared" si="15"/>
        <v>non</v>
      </c>
      <c r="Z208" s="328" t="str">
        <f t="shared" si="16"/>
        <v/>
      </c>
      <c r="AA208" s="9"/>
      <c r="AB208" s="1"/>
      <c r="AC208" s="190" t="str">
        <f>_xlfn.XLOOKUP(E208&amp;F208&amp;G208&amp;H208&amp;I208&amp;J208&amp;K208&amp;L208&amp;M208&amp;N208&amp;O208&amp;P208,'[2]2.4 wsLookup'!$M$2:$M$96,'[2]2.4 wsLookup'!$N$2:$N$96,"Introuvable")</f>
        <v>Introuvable</v>
      </c>
      <c r="AD208" s="190" t="str">
        <f>_xlfn.XLOOKUP(E208&amp;F208&amp;G208&amp;H208&amp;I208&amp;J208&amp;K208&amp;L208&amp;M208&amp;N208&amp;O208&amp;P208,'[2]2.4 wsLookup'!$M$2:$M$96,'[2]2.4 wsLookup'!$O$2:$O$96,"Introuvable")</f>
        <v>Introuvable</v>
      </c>
      <c r="AE208" s="90" t="e">
        <f t="shared" si="18"/>
        <v>#VALUE!</v>
      </c>
      <c r="AF208" s="206" t="str">
        <f>_xlfn.XLOOKUP(E208&amp;F208&amp;G208&amp;H208&amp;I208&amp;J208&amp;K208&amp;L208&amp;M208&amp;N208&amp;O208&amp;P208,'[2]2.4 wsLookup'!$M$2:$M$96,'[2]2.4 wsLookup'!$Q$2:$Q$96,"Introuvable")</f>
        <v>Introuvable</v>
      </c>
      <c r="AG208" s="91" t="str">
        <f>_xlfn.XLOOKUP(E208&amp;F208&amp;G208&amp;H208&amp;I208&amp;J208&amp;K208&amp;L208&amp;M208&amp;N208&amp;O208&amp;P208,'[2]2.4 wsLookup'!$M$2:$M$96,'[2]2.4 wsLookup'!$P$2:$P$96,"Introuvable")</f>
        <v>Introuvable</v>
      </c>
      <c r="AH208" s="91" t="str">
        <f>_xlfn.XLOOKUP(E208&amp;F208&amp;G208&amp;H208&amp;I208&amp;J208&amp;K208&amp;L208&amp;M208&amp;N208&amp;O208&amp;P208,'[2]2.4 wsLookup'!$M$2:$M$96,'[2]2.4 wsLookup'!$R$2:$R$96,"Introuvable")</f>
        <v>Introuvable</v>
      </c>
      <c r="AI208" s="193" t="str">
        <f>_xlfn.XLOOKUP(E208&amp;F208&amp;G208&amp;H208&amp;I208&amp;J208&amp;K208&amp;L208&amp;M208&amp;N208&amp;O208&amp;P208,'[2]2.4 wsLookup'!$M$2:$M$96,'[2]2.4 wsLookup'!$S$2:$S$96,"Introuvable")</f>
        <v>Introuvable</v>
      </c>
      <c r="AK208" t="str">
        <f t="shared" si="17"/>
        <v>|-|-|-|-|-|-|-|-|-|-|-</v>
      </c>
      <c r="AO208" t="str">
        <f t="shared" si="19"/>
        <v>en localité|-|-|-|-|acceptable|acceptable|non|non|non|non|non|moyen</v>
      </c>
    </row>
    <row r="209" spans="1:42" ht="39" customHeight="1">
      <c r="A209" s="1"/>
      <c r="B209" s="1"/>
      <c r="C209" s="188" t="s">
        <v>1924</v>
      </c>
      <c r="D209" s="227"/>
      <c r="E209" s="225"/>
      <c r="F209" s="225" t="s">
        <v>256</v>
      </c>
      <c r="G209" s="225" t="s">
        <v>256</v>
      </c>
      <c r="H209" s="225" t="s">
        <v>256</v>
      </c>
      <c r="I209" s="225" t="s">
        <v>256</v>
      </c>
      <c r="J209" s="320" t="s">
        <v>256</v>
      </c>
      <c r="K209" s="224" t="s">
        <v>256</v>
      </c>
      <c r="L209" s="224" t="s">
        <v>256</v>
      </c>
      <c r="M209" s="224" t="s">
        <v>256</v>
      </c>
      <c r="N209" s="224" t="s">
        <v>256</v>
      </c>
      <c r="O209" s="320" t="s">
        <v>256</v>
      </c>
      <c r="P209" s="226" t="s">
        <v>256</v>
      </c>
      <c r="Q209" s="374"/>
      <c r="R209" s="323" t="s">
        <v>1673</v>
      </c>
      <c r="S209" s="324"/>
      <c r="T209" s="325" t="str">
        <f t="shared" ref="T209:T215" si="20">IFERROR(IF((Q209&gt;1.25*AI209),"instable",
IF(AND(Q209&lt;=1.25*AI209,Q209&gt;0.75*AI209),"acceptable",
IF((Q209&lt;=AI209),"fluide",
"vérifier la saisie"))),"")</f>
        <v/>
      </c>
      <c r="U209" s="228" t="s">
        <v>1673</v>
      </c>
      <c r="V209" s="228" t="s">
        <v>1673</v>
      </c>
      <c r="W209" s="228" t="s">
        <v>1673</v>
      </c>
      <c r="X209" s="229" t="s">
        <v>1673</v>
      </c>
      <c r="Y209" s="288" t="str">
        <f t="shared" ref="Y209:Y215" si="21">IF(OR(U209="oui", V209="oui", W209="oui", X209="oui"), "oui", "non")</f>
        <v>non</v>
      </c>
      <c r="Z209" s="328" t="str">
        <f t="shared" ref="Z209:Z215" si="22">IF(OR(S209="critique",T209="instable",Y209="oui"),"élevé",
IF(OR(AND(Y209="non",S209="acceptable",T209="acceptable"),
          AND(Y209="non",S209="acceptable",T209="fluide"),
          AND(Y209="non",S209="sûr",T209="acceptable")),"moyen",
IF(AND(Y209="non",S209="sûr",T209="fluide"),"faible","")))</f>
        <v/>
      </c>
      <c r="AA209" s="9"/>
      <c r="AB209" s="1"/>
      <c r="AC209" s="190" t="str">
        <f>_xlfn.XLOOKUP(E209&amp;F209&amp;G209&amp;H209&amp;I209&amp;J209&amp;K209&amp;L209&amp;M209&amp;N209&amp;O209&amp;P209,'[2]2.4 wsLookup'!$M$2:$M$96,'[2]2.4 wsLookup'!$N$2:$N$96,"Introuvable")</f>
        <v>Introuvable</v>
      </c>
      <c r="AD209" s="190" t="str">
        <f>_xlfn.XLOOKUP(E209&amp;F209&amp;G209&amp;H209&amp;I209&amp;J209&amp;K209&amp;L209&amp;M209&amp;N209&amp;O209&amp;P209,'[2]2.4 wsLookup'!$M$2:$M$96,'[2]2.4 wsLookup'!$O$2:$O$96,"Introuvable")</f>
        <v>Introuvable</v>
      </c>
      <c r="AE209" s="90" t="e">
        <f t="shared" si="18"/>
        <v>#VALUE!</v>
      </c>
      <c r="AF209" s="206" t="str">
        <f>_xlfn.XLOOKUP(E209&amp;F209&amp;G209&amp;H209&amp;I209&amp;J209&amp;K209&amp;L209&amp;M209&amp;N209&amp;O209&amp;P209,'[2]2.4 wsLookup'!$M$2:$M$96,'[2]2.4 wsLookup'!$Q$2:$Q$96,"Introuvable")</f>
        <v>Introuvable</v>
      </c>
      <c r="AG209" s="91" t="str">
        <f>_xlfn.XLOOKUP(E209&amp;F209&amp;G209&amp;H209&amp;I209&amp;J209&amp;K209&amp;L209&amp;M209&amp;N209&amp;O209&amp;P209,'[2]2.4 wsLookup'!$M$2:$M$96,'[2]2.4 wsLookup'!$P$2:$P$96,"Introuvable")</f>
        <v>Introuvable</v>
      </c>
      <c r="AH209" s="91" t="str">
        <f>_xlfn.XLOOKUP(E209&amp;F209&amp;G209&amp;H209&amp;I209&amp;J209&amp;K209&amp;L209&amp;M209&amp;N209&amp;O209&amp;P209,'[2]2.4 wsLookup'!$M$2:$M$96,'[2]2.4 wsLookup'!$R$2:$R$96,"Introuvable")</f>
        <v>Introuvable</v>
      </c>
      <c r="AI209" s="193" t="str">
        <f>_xlfn.XLOOKUP(E209&amp;F209&amp;G209&amp;H209&amp;I209&amp;J209&amp;K209&amp;L209&amp;M209&amp;N209&amp;O209&amp;P209,'[2]2.4 wsLookup'!$M$2:$M$96,'[2]2.4 wsLookup'!$S$2:$S$96,"Introuvable")</f>
        <v>Introuvable</v>
      </c>
      <c r="AK209" t="str">
        <f t="shared" ref="AK209:AK215" si="23">E209 &amp; "|" &amp; F209 &amp; "|" &amp; G209 &amp; "|" &amp; H209 &amp; "|" &amp; I209 &amp; "|" &amp; J209 &amp; "|" &amp; K209 &amp; "|" &amp; L209 &amp; "|" &amp; M209 &amp; "|" &amp; N209 &amp; "|" &amp; O209 &amp; "|" &amp; P209</f>
        <v>|-|-|-|-|-|-|-|-|-|-|-</v>
      </c>
      <c r="AO209" t="str">
        <f t="shared" si="19"/>
        <v>en localité|-|-|-|-|acceptable|acceptable|non|non|non|non|non|moyen</v>
      </c>
    </row>
    <row r="210" spans="1:42" ht="39" customHeight="1">
      <c r="A210" s="1"/>
      <c r="B210" s="1"/>
      <c r="C210" s="188" t="s">
        <v>1925</v>
      </c>
      <c r="D210" s="227"/>
      <c r="E210" s="225"/>
      <c r="F210" s="225" t="s">
        <v>256</v>
      </c>
      <c r="G210" s="225" t="s">
        <v>256</v>
      </c>
      <c r="H210" s="225" t="s">
        <v>256</v>
      </c>
      <c r="I210" s="225" t="s">
        <v>256</v>
      </c>
      <c r="J210" s="320" t="s">
        <v>256</v>
      </c>
      <c r="K210" s="224" t="s">
        <v>256</v>
      </c>
      <c r="L210" s="224" t="s">
        <v>256</v>
      </c>
      <c r="M210" s="224" t="s">
        <v>256</v>
      </c>
      <c r="N210" s="224" t="s">
        <v>256</v>
      </c>
      <c r="O210" s="320" t="s">
        <v>256</v>
      </c>
      <c r="P210" s="226" t="s">
        <v>256</v>
      </c>
      <c r="Q210" s="374"/>
      <c r="R210" s="323" t="s">
        <v>1673</v>
      </c>
      <c r="S210" s="324"/>
      <c r="T210" s="325" t="str">
        <f t="shared" si="20"/>
        <v/>
      </c>
      <c r="U210" s="228" t="s">
        <v>1673</v>
      </c>
      <c r="V210" s="228" t="s">
        <v>1673</v>
      </c>
      <c r="W210" s="228" t="s">
        <v>1673</v>
      </c>
      <c r="X210" s="229" t="s">
        <v>1673</v>
      </c>
      <c r="Y210" s="288" t="str">
        <f t="shared" si="21"/>
        <v>non</v>
      </c>
      <c r="Z210" s="328" t="str">
        <f t="shared" si="22"/>
        <v/>
      </c>
      <c r="AA210" s="9"/>
      <c r="AB210" s="1"/>
      <c r="AC210" s="190" t="str">
        <f>_xlfn.XLOOKUP(E210&amp;F210&amp;G210&amp;H210&amp;I210&amp;J210&amp;K210&amp;L210&amp;M210&amp;N210&amp;O210&amp;P210,'[2]2.4 wsLookup'!$M$2:$M$96,'[2]2.4 wsLookup'!$N$2:$N$96,"Introuvable")</f>
        <v>Introuvable</v>
      </c>
      <c r="AD210" s="190" t="str">
        <f>_xlfn.XLOOKUP(E210&amp;F210&amp;G210&amp;H210&amp;I210&amp;J210&amp;K210&amp;L210&amp;M210&amp;N210&amp;O210&amp;P210,'[2]2.4 wsLookup'!$M$2:$M$96,'[2]2.4 wsLookup'!$O$2:$O$96,"Introuvable")</f>
        <v>Introuvable</v>
      </c>
      <c r="AE210" s="90" t="e">
        <f t="shared" ref="AE210:AE215" si="24">AC210*Q210^AD210</f>
        <v>#VALUE!</v>
      </c>
      <c r="AF210" s="206" t="str">
        <f>_xlfn.XLOOKUP(E210&amp;F210&amp;G210&amp;H210&amp;I210&amp;J210&amp;K210&amp;L210&amp;M210&amp;N210&amp;O210&amp;P210,'[2]2.4 wsLookup'!$M$2:$M$96,'[2]2.4 wsLookup'!$Q$2:$Q$96,"Introuvable")</f>
        <v>Introuvable</v>
      </c>
      <c r="AG210" s="91" t="str">
        <f>_xlfn.XLOOKUP(E210&amp;F210&amp;G210&amp;H210&amp;I210&amp;J210&amp;K210&amp;L210&amp;M210&amp;N210&amp;O210&amp;P210,'[2]2.4 wsLookup'!$M$2:$M$96,'[2]2.4 wsLookup'!$P$2:$P$96,"Introuvable")</f>
        <v>Introuvable</v>
      </c>
      <c r="AH210" s="91" t="str">
        <f>_xlfn.XLOOKUP(E210&amp;F210&amp;G210&amp;H210&amp;I210&amp;J210&amp;K210&amp;L210&amp;M210&amp;N210&amp;O210&amp;P210,'[2]2.4 wsLookup'!$M$2:$M$96,'[2]2.4 wsLookup'!$R$2:$R$96,"Introuvable")</f>
        <v>Introuvable</v>
      </c>
      <c r="AI210" s="193" t="str">
        <f>_xlfn.XLOOKUP(E210&amp;F210&amp;G210&amp;H210&amp;I210&amp;J210&amp;K210&amp;L210&amp;M210&amp;N210&amp;O210&amp;P210,'[2]2.4 wsLookup'!$M$2:$M$96,'[2]2.4 wsLookup'!$S$2:$S$96,"Introuvable")</f>
        <v>Introuvable</v>
      </c>
      <c r="AK210" t="str">
        <f t="shared" si="23"/>
        <v>|-|-|-|-|-|-|-|-|-|-|-</v>
      </c>
      <c r="AO210" t="str">
        <f t="shared" si="19"/>
        <v>en localité|-|-|-|-|acceptable|acceptable|non|non|non|non|non|moyen</v>
      </c>
    </row>
    <row r="211" spans="1:42" ht="39" customHeight="1">
      <c r="A211" s="1"/>
      <c r="B211" s="1"/>
      <c r="C211" s="188" t="s">
        <v>1926</v>
      </c>
      <c r="D211" s="227"/>
      <c r="E211" s="225"/>
      <c r="F211" s="225" t="s">
        <v>256</v>
      </c>
      <c r="G211" s="225" t="s">
        <v>256</v>
      </c>
      <c r="H211" s="225" t="s">
        <v>256</v>
      </c>
      <c r="I211" s="225" t="s">
        <v>256</v>
      </c>
      <c r="J211" s="320" t="s">
        <v>256</v>
      </c>
      <c r="K211" s="224" t="s">
        <v>256</v>
      </c>
      <c r="L211" s="224" t="s">
        <v>256</v>
      </c>
      <c r="M211" s="224" t="s">
        <v>256</v>
      </c>
      <c r="N211" s="224" t="s">
        <v>256</v>
      </c>
      <c r="O211" s="320" t="s">
        <v>256</v>
      </c>
      <c r="P211" s="226" t="s">
        <v>256</v>
      </c>
      <c r="Q211" s="374"/>
      <c r="R211" s="323" t="s">
        <v>1673</v>
      </c>
      <c r="S211" s="324"/>
      <c r="T211" s="325" t="str">
        <f t="shared" si="20"/>
        <v/>
      </c>
      <c r="U211" s="228" t="s">
        <v>1673</v>
      </c>
      <c r="V211" s="228" t="s">
        <v>1673</v>
      </c>
      <c r="W211" s="228" t="s">
        <v>1673</v>
      </c>
      <c r="X211" s="229" t="s">
        <v>1673</v>
      </c>
      <c r="Y211" s="288" t="str">
        <f t="shared" si="21"/>
        <v>non</v>
      </c>
      <c r="Z211" s="328" t="str">
        <f t="shared" si="22"/>
        <v/>
      </c>
      <c r="AA211" s="9"/>
      <c r="AB211" s="1"/>
      <c r="AC211" s="190" t="str">
        <f>_xlfn.XLOOKUP(E211&amp;F211&amp;G211&amp;H211&amp;I211&amp;J211&amp;K211&amp;L211&amp;M211&amp;N211&amp;O211&amp;P211,'[2]2.4 wsLookup'!$M$2:$M$96,'[2]2.4 wsLookup'!$N$2:$N$96,"Introuvable")</f>
        <v>Introuvable</v>
      </c>
      <c r="AD211" s="190" t="str">
        <f>_xlfn.XLOOKUP(E211&amp;F211&amp;G211&amp;H211&amp;I211&amp;J211&amp;K211&amp;L211&amp;M211&amp;N211&amp;O211&amp;P211,'[2]2.4 wsLookup'!$M$2:$M$96,'[2]2.4 wsLookup'!$O$2:$O$96,"Introuvable")</f>
        <v>Introuvable</v>
      </c>
      <c r="AE211" s="90" t="e">
        <f t="shared" si="24"/>
        <v>#VALUE!</v>
      </c>
      <c r="AF211" s="206" t="str">
        <f>_xlfn.XLOOKUP(E211&amp;F211&amp;G211&amp;H211&amp;I211&amp;J211&amp;K211&amp;L211&amp;M211&amp;N211&amp;O211&amp;P211,'[2]2.4 wsLookup'!$M$2:$M$96,'[2]2.4 wsLookup'!$Q$2:$Q$96,"Introuvable")</f>
        <v>Introuvable</v>
      </c>
      <c r="AG211" s="91" t="str">
        <f>_xlfn.XLOOKUP(E211&amp;F211&amp;G211&amp;H211&amp;I211&amp;J211&amp;K211&amp;L211&amp;M211&amp;N211&amp;O211&amp;P211,'[2]2.4 wsLookup'!$M$2:$M$96,'[2]2.4 wsLookup'!$P$2:$P$96,"Introuvable")</f>
        <v>Introuvable</v>
      </c>
      <c r="AH211" s="91" t="str">
        <f>_xlfn.XLOOKUP(E211&amp;F211&amp;G211&amp;H211&amp;I211&amp;J211&amp;K211&amp;L211&amp;M211&amp;N211&amp;O211&amp;P211,'[2]2.4 wsLookup'!$M$2:$M$96,'[2]2.4 wsLookup'!$R$2:$R$96,"Introuvable")</f>
        <v>Introuvable</v>
      </c>
      <c r="AI211" s="193" t="str">
        <f>_xlfn.XLOOKUP(E211&amp;F211&amp;G211&amp;H211&amp;I211&amp;J211&amp;K211&amp;L211&amp;M211&amp;N211&amp;O211&amp;P211,'[2]2.4 wsLookup'!$M$2:$M$96,'[2]2.4 wsLookup'!$S$2:$S$96,"Introuvable")</f>
        <v>Introuvable</v>
      </c>
      <c r="AK211" t="str">
        <f t="shared" si="23"/>
        <v>|-|-|-|-|-|-|-|-|-|-|-</v>
      </c>
      <c r="AO211" t="str">
        <f t="shared" si="19"/>
        <v>en localité|-|-|-|-|acceptable|acceptable|non|non|non|non|non|moyen</v>
      </c>
    </row>
    <row r="212" spans="1:42" ht="39" customHeight="1">
      <c r="A212" s="1"/>
      <c r="B212" s="1"/>
      <c r="C212" s="188" t="s">
        <v>1927</v>
      </c>
      <c r="D212" s="227"/>
      <c r="E212" s="225"/>
      <c r="F212" s="225" t="s">
        <v>256</v>
      </c>
      <c r="G212" s="225" t="s">
        <v>256</v>
      </c>
      <c r="H212" s="225" t="s">
        <v>256</v>
      </c>
      <c r="I212" s="225" t="s">
        <v>256</v>
      </c>
      <c r="J212" s="320" t="s">
        <v>256</v>
      </c>
      <c r="K212" s="224" t="s">
        <v>256</v>
      </c>
      <c r="L212" s="224" t="s">
        <v>256</v>
      </c>
      <c r="M212" s="224" t="s">
        <v>256</v>
      </c>
      <c r="N212" s="224" t="s">
        <v>256</v>
      </c>
      <c r="O212" s="320" t="s">
        <v>256</v>
      </c>
      <c r="P212" s="226" t="s">
        <v>256</v>
      </c>
      <c r="Q212" s="374"/>
      <c r="R212" s="323" t="s">
        <v>1673</v>
      </c>
      <c r="S212" s="324"/>
      <c r="T212" s="325" t="str">
        <f t="shared" si="20"/>
        <v/>
      </c>
      <c r="U212" s="228" t="s">
        <v>1673</v>
      </c>
      <c r="V212" s="228" t="s">
        <v>1673</v>
      </c>
      <c r="W212" s="228" t="s">
        <v>1673</v>
      </c>
      <c r="X212" s="229" t="s">
        <v>1673</v>
      </c>
      <c r="Y212" s="288" t="str">
        <f t="shared" si="21"/>
        <v>non</v>
      </c>
      <c r="Z212" s="328" t="str">
        <f t="shared" si="22"/>
        <v/>
      </c>
      <c r="AA212" s="9"/>
      <c r="AB212" s="1"/>
      <c r="AC212" s="190" t="str">
        <f>_xlfn.XLOOKUP(E212&amp;F212&amp;G212&amp;H212&amp;I212&amp;J212&amp;K212&amp;L212&amp;M212&amp;N212&amp;O212&amp;P212,'[2]2.4 wsLookup'!$M$2:$M$96,'[2]2.4 wsLookup'!$N$2:$N$96,"Introuvable")</f>
        <v>Introuvable</v>
      </c>
      <c r="AD212" s="190" t="str">
        <f>_xlfn.XLOOKUP(E212&amp;F212&amp;G212&amp;H212&amp;I212&amp;J212&amp;K212&amp;L212&amp;M212&amp;N212&amp;O212&amp;P212,'[2]2.4 wsLookup'!$M$2:$M$96,'[2]2.4 wsLookup'!$O$2:$O$96,"Introuvable")</f>
        <v>Introuvable</v>
      </c>
      <c r="AE212" s="90" t="e">
        <f t="shared" si="24"/>
        <v>#VALUE!</v>
      </c>
      <c r="AF212" s="206" t="str">
        <f>_xlfn.XLOOKUP(E212&amp;F212&amp;G212&amp;H212&amp;I212&amp;J212&amp;K212&amp;L212&amp;M212&amp;N212&amp;O212&amp;P212,'[2]2.4 wsLookup'!$M$2:$M$96,'[2]2.4 wsLookup'!$Q$2:$Q$96,"Introuvable")</f>
        <v>Introuvable</v>
      </c>
      <c r="AG212" s="91" t="str">
        <f>_xlfn.XLOOKUP(E212&amp;F212&amp;G212&amp;H212&amp;I212&amp;J212&amp;K212&amp;L212&amp;M212&amp;N212&amp;O212&amp;P212,'[2]2.4 wsLookup'!$M$2:$M$96,'[2]2.4 wsLookup'!$P$2:$P$96,"Introuvable")</f>
        <v>Introuvable</v>
      </c>
      <c r="AH212" s="91" t="str">
        <f>_xlfn.XLOOKUP(E212&amp;F212&amp;G212&amp;H212&amp;I212&amp;J212&amp;K212&amp;L212&amp;M212&amp;N212&amp;O212&amp;P212,'[2]2.4 wsLookup'!$M$2:$M$96,'[2]2.4 wsLookup'!$R$2:$R$96,"Introuvable")</f>
        <v>Introuvable</v>
      </c>
      <c r="AI212" s="193" t="str">
        <f>_xlfn.XLOOKUP(E212&amp;F212&amp;G212&amp;H212&amp;I212&amp;J212&amp;K212&amp;L212&amp;M212&amp;N212&amp;O212&amp;P212,'[2]2.4 wsLookup'!$M$2:$M$96,'[2]2.4 wsLookup'!$S$2:$S$96,"Introuvable")</f>
        <v>Introuvable</v>
      </c>
      <c r="AK212" t="str">
        <f t="shared" si="23"/>
        <v>|-|-|-|-|-|-|-|-|-|-|-</v>
      </c>
      <c r="AO212" t="str">
        <f t="shared" si="19"/>
        <v>en localité|-|-|-|-|sûr|fluide|non|non|non|non|non|faible</v>
      </c>
    </row>
    <row r="213" spans="1:42" ht="39" customHeight="1">
      <c r="A213" s="1"/>
      <c r="B213" s="1"/>
      <c r="C213" s="188" t="s">
        <v>1928</v>
      </c>
      <c r="D213" s="227"/>
      <c r="E213" s="225"/>
      <c r="F213" s="225" t="s">
        <v>256</v>
      </c>
      <c r="G213" s="225" t="s">
        <v>256</v>
      </c>
      <c r="H213" s="225" t="s">
        <v>256</v>
      </c>
      <c r="I213" s="225" t="s">
        <v>256</v>
      </c>
      <c r="J213" s="320" t="s">
        <v>256</v>
      </c>
      <c r="K213" s="224" t="s">
        <v>256</v>
      </c>
      <c r="L213" s="224" t="s">
        <v>256</v>
      </c>
      <c r="M213" s="224" t="s">
        <v>256</v>
      </c>
      <c r="N213" s="224" t="s">
        <v>256</v>
      </c>
      <c r="O213" s="320" t="s">
        <v>256</v>
      </c>
      <c r="P213" s="226" t="s">
        <v>256</v>
      </c>
      <c r="Q213" s="374"/>
      <c r="R213" s="323" t="s">
        <v>1673</v>
      </c>
      <c r="S213" s="324"/>
      <c r="T213" s="325" t="str">
        <f t="shared" si="20"/>
        <v/>
      </c>
      <c r="U213" s="228" t="s">
        <v>1673</v>
      </c>
      <c r="V213" s="228" t="s">
        <v>1673</v>
      </c>
      <c r="W213" s="228" t="s">
        <v>1673</v>
      </c>
      <c r="X213" s="229" t="s">
        <v>1673</v>
      </c>
      <c r="Y213" s="288" t="str">
        <f t="shared" si="21"/>
        <v>non</v>
      </c>
      <c r="Z213" s="328" t="str">
        <f t="shared" si="22"/>
        <v/>
      </c>
      <c r="AA213" s="9"/>
      <c r="AB213" s="1"/>
      <c r="AC213" s="190" t="str">
        <f>_xlfn.XLOOKUP(E213&amp;F213&amp;G213&amp;H213&amp;I213&amp;J213&amp;K213&amp;L213&amp;M213&amp;N213&amp;O213&amp;P213,'[2]2.4 wsLookup'!$M$2:$M$96,'[2]2.4 wsLookup'!$N$2:$N$96,"Introuvable")</f>
        <v>Introuvable</v>
      </c>
      <c r="AD213" s="190" t="str">
        <f>_xlfn.XLOOKUP(E213&amp;F213&amp;G213&amp;H213&amp;I213&amp;J213&amp;K213&amp;L213&amp;M213&amp;N213&amp;O213&amp;P213,'[2]2.4 wsLookup'!$M$2:$M$96,'[2]2.4 wsLookup'!$O$2:$O$96,"Introuvable")</f>
        <v>Introuvable</v>
      </c>
      <c r="AE213" s="90" t="e">
        <f t="shared" si="24"/>
        <v>#VALUE!</v>
      </c>
      <c r="AF213" s="206" t="str">
        <f>_xlfn.XLOOKUP(E213&amp;F213&amp;G213&amp;H213&amp;I213&amp;J213&amp;K213&amp;L213&amp;M213&amp;N213&amp;O213&amp;P213,'[2]2.4 wsLookup'!$M$2:$M$96,'[2]2.4 wsLookup'!$Q$2:$Q$96,"Introuvable")</f>
        <v>Introuvable</v>
      </c>
      <c r="AG213" s="91" t="str">
        <f>_xlfn.XLOOKUP(E213&amp;F213&amp;G213&amp;H213&amp;I213&amp;J213&amp;K213&amp;L213&amp;M213&amp;N213&amp;O213&amp;P213,'[2]2.4 wsLookup'!$M$2:$M$96,'[2]2.4 wsLookup'!$P$2:$P$96,"Introuvable")</f>
        <v>Introuvable</v>
      </c>
      <c r="AH213" s="91" t="str">
        <f>_xlfn.XLOOKUP(E213&amp;F213&amp;G213&amp;H213&amp;I213&amp;J213&amp;K213&amp;L213&amp;M213&amp;N213&amp;O213&amp;P213,'[2]2.4 wsLookup'!$M$2:$M$96,'[2]2.4 wsLookup'!$R$2:$R$96,"Introuvable")</f>
        <v>Introuvable</v>
      </c>
      <c r="AI213" s="193" t="str">
        <f>_xlfn.XLOOKUP(E213&amp;F213&amp;G213&amp;H213&amp;I213&amp;J213&amp;K213&amp;L213&amp;M213&amp;N213&amp;O213&amp;P213,'[2]2.4 wsLookup'!$M$2:$M$96,'[2]2.4 wsLookup'!$S$2:$S$96,"Introuvable")</f>
        <v>Introuvable</v>
      </c>
      <c r="AK213" t="str">
        <f t="shared" si="23"/>
        <v>|-|-|-|-|-|-|-|-|-|-|-</v>
      </c>
      <c r="AO213" t="str">
        <f t="shared" si="19"/>
        <v>en localité|-|-|-|-|acceptable|acceptable|non|non|non|non|non|moyen</v>
      </c>
    </row>
    <row r="214" spans="1:42" ht="39" customHeight="1">
      <c r="A214" s="1"/>
      <c r="B214" s="1"/>
      <c r="C214" s="188" t="s">
        <v>1929</v>
      </c>
      <c r="D214" s="227"/>
      <c r="E214" s="225"/>
      <c r="F214" s="225" t="s">
        <v>256</v>
      </c>
      <c r="G214" s="225" t="s">
        <v>256</v>
      </c>
      <c r="H214" s="225" t="s">
        <v>256</v>
      </c>
      <c r="I214" s="225" t="s">
        <v>256</v>
      </c>
      <c r="J214" s="320" t="s">
        <v>256</v>
      </c>
      <c r="K214" s="224" t="s">
        <v>256</v>
      </c>
      <c r="L214" s="224" t="s">
        <v>256</v>
      </c>
      <c r="M214" s="224" t="s">
        <v>256</v>
      </c>
      <c r="N214" s="224" t="s">
        <v>256</v>
      </c>
      <c r="O214" s="320" t="s">
        <v>256</v>
      </c>
      <c r="P214" s="226" t="s">
        <v>256</v>
      </c>
      <c r="Q214" s="374"/>
      <c r="R214" s="323" t="s">
        <v>1673</v>
      </c>
      <c r="S214" s="324"/>
      <c r="T214" s="325" t="str">
        <f t="shared" si="20"/>
        <v/>
      </c>
      <c r="U214" s="228" t="s">
        <v>1673</v>
      </c>
      <c r="V214" s="228" t="s">
        <v>1673</v>
      </c>
      <c r="W214" s="228" t="s">
        <v>1673</v>
      </c>
      <c r="X214" s="229" t="s">
        <v>1673</v>
      </c>
      <c r="Y214" s="288" t="str">
        <f t="shared" si="21"/>
        <v>non</v>
      </c>
      <c r="Z214" s="328" t="str">
        <f t="shared" si="22"/>
        <v/>
      </c>
      <c r="AA214" s="9"/>
      <c r="AB214" s="1"/>
      <c r="AC214" s="190" t="str">
        <f>_xlfn.XLOOKUP(E214&amp;F214&amp;G214&amp;H214&amp;I214&amp;J214&amp;K214&amp;L214&amp;M214&amp;N214&amp;O214&amp;P214,'[2]2.4 wsLookup'!$M$2:$M$96,'[2]2.4 wsLookup'!$N$2:$N$96,"Introuvable")</f>
        <v>Introuvable</v>
      </c>
      <c r="AD214" s="190" t="str">
        <f>_xlfn.XLOOKUP(E214&amp;F214&amp;G214&amp;H214&amp;I214&amp;J214&amp;K214&amp;L214&amp;M214&amp;N214&amp;O214&amp;P214,'[2]2.4 wsLookup'!$M$2:$M$96,'[2]2.4 wsLookup'!$O$2:$O$96,"Introuvable")</f>
        <v>Introuvable</v>
      </c>
      <c r="AE214" s="90" t="e">
        <f t="shared" si="24"/>
        <v>#VALUE!</v>
      </c>
      <c r="AF214" s="206" t="str">
        <f>_xlfn.XLOOKUP(E214&amp;F214&amp;G214&amp;H214&amp;I214&amp;J214&amp;K214&amp;L214&amp;M214&amp;N214&amp;O214&amp;P214,'[2]2.4 wsLookup'!$M$2:$M$96,'[2]2.4 wsLookup'!$Q$2:$Q$96,"Introuvable")</f>
        <v>Introuvable</v>
      </c>
      <c r="AG214" s="91" t="str">
        <f>_xlfn.XLOOKUP(E214&amp;F214&amp;G214&amp;H214&amp;I214&amp;J214&amp;K214&amp;L214&amp;M214&amp;N214&amp;O214&amp;P214,'[2]2.4 wsLookup'!$M$2:$M$96,'[2]2.4 wsLookup'!$P$2:$P$96,"Introuvable")</f>
        <v>Introuvable</v>
      </c>
      <c r="AH214" s="91" t="str">
        <f>_xlfn.XLOOKUP(E214&amp;F214&amp;G214&amp;H214&amp;I214&amp;J214&amp;K214&amp;L214&amp;M214&amp;N214&amp;O214&amp;P214,'[2]2.4 wsLookup'!$M$2:$M$96,'[2]2.4 wsLookup'!$R$2:$R$96,"Introuvable")</f>
        <v>Introuvable</v>
      </c>
      <c r="AI214" s="193" t="str">
        <f>_xlfn.XLOOKUP(E214&amp;F214&amp;G214&amp;H214&amp;I214&amp;J214&amp;K214&amp;L214&amp;M214&amp;N214&amp;O214&amp;P214,'[2]2.4 wsLookup'!$M$2:$M$96,'[2]2.4 wsLookup'!$S$2:$S$96,"Introuvable")</f>
        <v>Introuvable</v>
      </c>
      <c r="AK214" t="str">
        <f t="shared" si="23"/>
        <v>|-|-|-|-|-|-|-|-|-|-|-</v>
      </c>
      <c r="AO214" t="str">
        <f t="shared" si="19"/>
        <v>en localité|-|-|-|-|sûr|fluide|non|non|non|non|non|faible</v>
      </c>
    </row>
    <row r="215" spans="1:42" ht="39" customHeight="1">
      <c r="A215" s="1"/>
      <c r="B215" s="1"/>
      <c r="C215" s="188" t="s">
        <v>1930</v>
      </c>
      <c r="D215" s="227"/>
      <c r="E215" s="225"/>
      <c r="F215" s="225" t="s">
        <v>256</v>
      </c>
      <c r="G215" s="225" t="s">
        <v>256</v>
      </c>
      <c r="H215" s="225" t="s">
        <v>256</v>
      </c>
      <c r="I215" s="225" t="s">
        <v>256</v>
      </c>
      <c r="J215" s="320" t="s">
        <v>256</v>
      </c>
      <c r="K215" s="224" t="s">
        <v>256</v>
      </c>
      <c r="L215" s="224" t="s">
        <v>256</v>
      </c>
      <c r="M215" s="224" t="s">
        <v>256</v>
      </c>
      <c r="N215" s="224" t="s">
        <v>256</v>
      </c>
      <c r="O215" s="320" t="s">
        <v>256</v>
      </c>
      <c r="P215" s="226" t="s">
        <v>256</v>
      </c>
      <c r="Q215" s="374"/>
      <c r="R215" s="323" t="s">
        <v>1673</v>
      </c>
      <c r="S215" s="324"/>
      <c r="T215" s="325" t="str">
        <f t="shared" si="20"/>
        <v/>
      </c>
      <c r="U215" s="228" t="s">
        <v>1673</v>
      </c>
      <c r="V215" s="228" t="s">
        <v>1673</v>
      </c>
      <c r="W215" s="228" t="s">
        <v>1673</v>
      </c>
      <c r="X215" s="229" t="s">
        <v>1673</v>
      </c>
      <c r="Y215" s="288" t="str">
        <f t="shared" si="21"/>
        <v>non</v>
      </c>
      <c r="Z215" s="328" t="str">
        <f t="shared" si="22"/>
        <v/>
      </c>
      <c r="AA215" s="9"/>
      <c r="AB215" s="1"/>
      <c r="AC215" s="190" t="str">
        <f>_xlfn.XLOOKUP(E215&amp;F215&amp;G215&amp;H215&amp;I215&amp;J215&amp;K215&amp;L215&amp;M215&amp;N215&amp;O215&amp;P215,'[2]2.4 wsLookup'!$M$2:$M$96,'[2]2.4 wsLookup'!$N$2:$N$96,"Introuvable")</f>
        <v>Introuvable</v>
      </c>
      <c r="AD215" s="190" t="str">
        <f>_xlfn.XLOOKUP(E215&amp;F215&amp;G215&amp;H215&amp;I215&amp;J215&amp;K215&amp;L215&amp;M215&amp;N215&amp;O215&amp;P215,'[2]2.4 wsLookup'!$M$2:$M$96,'[2]2.4 wsLookup'!$O$2:$O$96,"Introuvable")</f>
        <v>Introuvable</v>
      </c>
      <c r="AE215" s="90" t="e">
        <f t="shared" si="24"/>
        <v>#VALUE!</v>
      </c>
      <c r="AF215" s="206" t="str">
        <f>_xlfn.XLOOKUP(E215&amp;F215&amp;G215&amp;H215&amp;I215&amp;J215&amp;K215&amp;L215&amp;M215&amp;N215&amp;O215&amp;P215,'[2]2.4 wsLookup'!$M$2:$M$96,'[2]2.4 wsLookup'!$Q$2:$Q$96,"Introuvable")</f>
        <v>Introuvable</v>
      </c>
      <c r="AG215" s="91" t="str">
        <f>_xlfn.XLOOKUP(E215&amp;F215&amp;G215&amp;H215&amp;I215&amp;J215&amp;K215&amp;L215&amp;M215&amp;N215&amp;O215&amp;P215,'[2]2.4 wsLookup'!$M$2:$M$96,'[2]2.4 wsLookup'!$P$2:$P$96,"Introuvable")</f>
        <v>Introuvable</v>
      </c>
      <c r="AH215" s="91" t="str">
        <f>_xlfn.XLOOKUP(E215&amp;F215&amp;G215&amp;H215&amp;I215&amp;J215&amp;K215&amp;L215&amp;M215&amp;N215&amp;O215&amp;P215,'[2]2.4 wsLookup'!$M$2:$M$96,'[2]2.4 wsLookup'!$R$2:$R$96,"Introuvable")</f>
        <v>Introuvable</v>
      </c>
      <c r="AI215" s="193" t="str">
        <f>_xlfn.XLOOKUP(E215&amp;F215&amp;G215&amp;H215&amp;I215&amp;J215&amp;K215&amp;L215&amp;M215&amp;N215&amp;O215&amp;P215,'[2]2.4 wsLookup'!$M$2:$M$96,'[2]2.4 wsLookup'!$S$2:$S$96,"Introuvable")</f>
        <v>Introuvable</v>
      </c>
      <c r="AK215" t="str">
        <f t="shared" si="23"/>
        <v>|-|-|-|-|-|-|-|-|-|-|-</v>
      </c>
      <c r="AO215" t="str">
        <f t="shared" si="19"/>
        <v>en localité|-|-|-|-|acceptable|acceptable|non|non|oui|oui|oui|élevé</v>
      </c>
    </row>
    <row r="216" spans="1:4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spans="1:4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spans="1:4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row>
    <row r="229" spans="1:4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row>
    <row r="230" spans="1:4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row>
    <row r="231" spans="1:4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row>
    <row r="232" spans="1:4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row>
    <row r="233" spans="1:4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row>
    <row r="234" spans="1:4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row>
    <row r="235" spans="1:4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spans="1:4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spans="1:4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row>
    <row r="238" spans="1:4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spans="1:4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spans="1: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spans="1:4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row>
    <row r="244" spans="1:42">
      <c r="G244"/>
      <c r="U244"/>
      <c r="AA244"/>
    </row>
  </sheetData>
  <dataConsolidate/>
  <mergeCells count="15">
    <mergeCell ref="Q14:R14"/>
    <mergeCell ref="C12:Z12"/>
    <mergeCell ref="C11:Z11"/>
    <mergeCell ref="C9:P9"/>
    <mergeCell ref="AE14:AI14"/>
    <mergeCell ref="D14:E14"/>
    <mergeCell ref="D13:R13"/>
    <mergeCell ref="C14:C15"/>
    <mergeCell ref="J14:P14"/>
    <mergeCell ref="F14:I14"/>
    <mergeCell ref="U14:V14"/>
    <mergeCell ref="W14:X14"/>
    <mergeCell ref="S13:T14"/>
    <mergeCell ref="Y13:Z14"/>
    <mergeCell ref="U13:X13"/>
  </mergeCells>
  <phoneticPr fontId="19" type="noConversion"/>
  <conditionalFormatting sqref="S16:S215">
    <cfRule type="containsText" dxfId="24" priority="9" operator="containsText" text="critique">
      <formula>NOT(ISERROR(SEARCH("critique",S16)))</formula>
    </cfRule>
    <cfRule type="containsText" dxfId="23" priority="10" operator="containsText" text="sûr">
      <formula>NOT(ISERROR(SEARCH("sûr",S16)))</formula>
    </cfRule>
  </conditionalFormatting>
  <conditionalFormatting sqref="S16:T215">
    <cfRule type="containsText" dxfId="22" priority="2" operator="containsText" text="acceptable">
      <formula>NOT(ISERROR(SEARCH("acceptable",S16)))</formula>
    </cfRule>
  </conditionalFormatting>
  <conditionalFormatting sqref="T16:T215">
    <cfRule type="containsText" dxfId="21" priority="1" operator="containsText" text="fluide">
      <formula>NOT(ISERROR(SEARCH("fluide",T16)))</formula>
    </cfRule>
    <cfRule type="containsText" dxfId="20" priority="3" operator="containsText" text="instable">
      <formula>NOT(ISERROR(SEARCH("instable",T16)))</formula>
    </cfRule>
  </conditionalFormatting>
  <conditionalFormatting sqref="Y16:Y215">
    <cfRule type="containsText" dxfId="19" priority="4" operator="containsText" text="non">
      <formula>NOT(ISERROR(SEARCH("non",Y16)))</formula>
    </cfRule>
    <cfRule type="containsText" dxfId="18" priority="8" operator="containsText" text="oui">
      <formula>NOT(ISERROR(SEARCH("oui",Y16)))</formula>
    </cfRule>
  </conditionalFormatting>
  <conditionalFormatting sqref="Z16:Z215">
    <cfRule type="containsText" dxfId="17" priority="5" operator="containsText" text="élevé">
      <formula>NOT(ISERROR(SEARCH("élevé",Z16)))</formula>
    </cfRule>
    <cfRule type="containsText" dxfId="16" priority="6" operator="containsText" text="moyen">
      <formula>NOT(ISERROR(SEARCH("moyen",Z16)))</formula>
    </cfRule>
    <cfRule type="containsText" dxfId="15" priority="7" operator="containsText" text="faible">
      <formula>NOT(ISERROR(SEARCH("faible",Z16)))</formula>
    </cfRule>
  </conditionalFormatting>
  <dataValidations count="9">
    <dataValidation type="whole" allowBlank="1" showInputMessage="1" showErrorMessage="1" sqref="Q16:Q215" xr:uid="{946EC7CB-2AF9-4A16-9572-946F77269602}">
      <formula1>0</formula1>
      <formula2>250000</formula2>
    </dataValidation>
    <dataValidation type="list" allowBlank="1" showInputMessage="1" showErrorMessage="1" sqref="G16:G215" xr:uid="{5946DDB4-19AD-47D3-86E4-49D63CDF253B}">
      <formula1>"-,&gt;3,3"</formula1>
    </dataValidation>
    <dataValidation type="list" allowBlank="1" showInputMessage="1" showErrorMessage="1" sqref="O16:O215" xr:uid="{4DDEFCA3-FE77-4C03-9897-0135F8D99926}">
      <formula1>"-,Sans,Bande cyclable,Piste cyclable"</formula1>
    </dataValidation>
    <dataValidation type="list" allowBlank="1" showInputMessage="1" showErrorMessage="1" sqref="J16:J215" xr:uid="{C27F3801-9827-4CE7-86A4-2B7E6D1F63DD}">
      <formula1>"-,Route secondaire,Route Principale,Rampe aux échangeurs,Autoroute,Route express"</formula1>
    </dataValidation>
    <dataValidation type="list" allowBlank="1" showInputMessage="1" showErrorMessage="1" sqref="P16:P215" xr:uid="{65706BF1-6AE6-4A58-B63C-FD84096BBDE0}">
      <formula1>"-,&gt;2 voies dans chaque sens,&lt;= 2 voies par sens de circulation,Avec séparation physique,Sans séparation physique"</formula1>
    </dataValidation>
    <dataValidation type="list" allowBlank="1" showInputMessage="1" showErrorMessage="1" sqref="U16:X215 R16:R215" xr:uid="{96F122FF-7A1B-4307-A6CE-7026AFBEAA0D}">
      <formula1>"non,oui"</formula1>
    </dataValidation>
    <dataValidation type="list" allowBlank="1" showInputMessage="1" showErrorMessage="1" sqref="K16:K215" xr:uid="{EA15DB92-094F-4382-B184-435A806BD8CB}">
      <formula1>"-, Circulation mixte, Tunnel"</formula1>
    </dataValidation>
    <dataValidation type="list" allowBlank="1" showInputMessage="1" showErrorMessage="1" sqref="F16:F215 L16:N215 H16:I215" xr:uid="{1E18B291-4073-42EC-8BB7-838518A57628}">
      <formula1>"-,oui,non"</formula1>
    </dataValidation>
    <dataValidation type="list" allowBlank="1" showInputMessage="1" showErrorMessage="1" sqref="E16:E215" xr:uid="{CF461388-9A5B-4F36-B7BC-11B07BF41071}">
      <formula1>"en localité, hors localité, autoroute/route express"</formula1>
    </dataValidation>
  </dataValidation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71FCE-4B79-409B-97B1-23796E0A6485}">
  <sheetPr codeName="Tabelle4">
    <tabColor rgb="FFE2EEFA"/>
  </sheetPr>
  <dimension ref="A2:AD391"/>
  <sheetViews>
    <sheetView topLeftCell="A338" zoomScale="90" zoomScaleNormal="90" workbookViewId="0">
      <selection activeCell="I370" sqref="I370"/>
    </sheetView>
  </sheetViews>
  <sheetFormatPr baseColWidth="10" defaultColWidth="11.140625" defaultRowHeight="12"/>
  <cols>
    <col min="1" max="1" width="12.5703125" customWidth="1"/>
    <col min="2" max="2" width="16.140625" customWidth="1"/>
    <col min="4" max="4" width="13.5703125" bestFit="1" customWidth="1"/>
    <col min="5" max="5" width="24.42578125" customWidth="1"/>
    <col min="6" max="6" width="17.140625" bestFit="1" customWidth="1"/>
    <col min="7" max="7" width="12.140625" customWidth="1"/>
    <col min="8" max="8" width="10.5703125" customWidth="1"/>
    <col min="9" max="9" width="14" customWidth="1"/>
    <col min="10" max="10" width="11.140625" customWidth="1"/>
    <col min="11" max="11" width="12.42578125" customWidth="1"/>
    <col min="12" max="12" width="10.42578125" customWidth="1"/>
    <col min="13" max="13" width="9.140625" customWidth="1"/>
    <col min="14" max="14" width="27.5703125" customWidth="1"/>
    <col min="15" max="15" width="14.5703125" customWidth="1"/>
    <col min="16" max="16" width="15.140625" customWidth="1"/>
    <col min="17" max="17" width="15.140625" bestFit="1" customWidth="1"/>
    <col min="18" max="18" width="13.5703125" bestFit="1" customWidth="1"/>
    <col min="19" max="19" width="14.5703125" bestFit="1" customWidth="1"/>
    <col min="20" max="20" width="20.140625" bestFit="1" customWidth="1"/>
    <col min="21" max="21" width="14.42578125" bestFit="1" customWidth="1"/>
    <col min="22" max="22" width="23.85546875" bestFit="1" customWidth="1"/>
    <col min="23" max="23" width="18.5703125" bestFit="1" customWidth="1"/>
    <col min="24" max="24" width="13.140625" bestFit="1" customWidth="1"/>
    <col min="25" max="25" width="8" style="139" customWidth="1"/>
    <col min="26" max="26" width="13.140625" bestFit="1" customWidth="1"/>
    <col min="27" max="27" width="10.5703125" style="139" customWidth="1"/>
    <col min="28" max="28" width="13.140625" bestFit="1" customWidth="1"/>
    <col min="29" max="29" width="13.42578125" customWidth="1"/>
  </cols>
  <sheetData>
    <row r="2" spans="1:29" s="38" customFormat="1" ht="30.75" customHeight="1">
      <c r="B2" s="38" t="s">
        <v>259</v>
      </c>
      <c r="S2" s="38" t="s">
        <v>260</v>
      </c>
      <c r="Y2" s="138"/>
      <c r="AA2" s="138"/>
    </row>
    <row r="3" spans="1:29" ht="16.5" customHeight="1" thickBot="1">
      <c r="W3" s="66"/>
    </row>
    <row r="4" spans="1:29" s="31" customFormat="1" ht="68.650000000000006" customHeight="1" thickBot="1">
      <c r="A4" s="56" t="s">
        <v>1574</v>
      </c>
      <c r="B4" s="40" t="s">
        <v>261</v>
      </c>
      <c r="C4" s="40" t="s">
        <v>262</v>
      </c>
      <c r="D4" s="370" t="s">
        <v>1563</v>
      </c>
      <c r="E4" s="40" t="s">
        <v>1568</v>
      </c>
      <c r="F4" s="118" t="s">
        <v>263</v>
      </c>
      <c r="G4" s="40" t="s">
        <v>264</v>
      </c>
      <c r="H4" s="40" t="s">
        <v>265</v>
      </c>
      <c r="I4" s="118" t="s">
        <v>266</v>
      </c>
      <c r="J4" s="119"/>
      <c r="K4" s="120" t="s">
        <v>267</v>
      </c>
      <c r="L4" s="118" t="s">
        <v>1575</v>
      </c>
      <c r="M4" s="119"/>
      <c r="N4" s="120" t="s">
        <v>268</v>
      </c>
      <c r="O4" s="493" t="s">
        <v>2091</v>
      </c>
      <c r="P4" s="493"/>
      <c r="S4" s="40" t="s">
        <v>269</v>
      </c>
      <c r="T4" s="40" t="s">
        <v>270</v>
      </c>
      <c r="U4" s="370" t="s">
        <v>271</v>
      </c>
      <c r="V4" s="40" t="s">
        <v>1568</v>
      </c>
      <c r="W4" s="118" t="s">
        <v>272</v>
      </c>
      <c r="X4" s="39" t="s">
        <v>273</v>
      </c>
      <c r="Y4" s="500" t="s">
        <v>1580</v>
      </c>
      <c r="Z4" s="500"/>
      <c r="AA4" s="493" t="s">
        <v>2092</v>
      </c>
      <c r="AB4" s="493"/>
    </row>
    <row r="5" spans="1:29" ht="12.75">
      <c r="B5" s="32" t="s">
        <v>1940</v>
      </c>
      <c r="C5" s="32" t="s">
        <v>1673</v>
      </c>
      <c r="D5" s="33" t="s">
        <v>255</v>
      </c>
      <c r="E5" s="32" t="s">
        <v>1674</v>
      </c>
      <c r="F5" s="32" t="s">
        <v>1674</v>
      </c>
      <c r="G5" s="34" t="s">
        <v>1941</v>
      </c>
      <c r="H5" s="32">
        <v>0.66</v>
      </c>
      <c r="I5" s="83">
        <v>2.1578675519198556</v>
      </c>
      <c r="J5" s="65" t="s">
        <v>274</v>
      </c>
      <c r="K5" s="527">
        <v>1.2077407737518886</v>
      </c>
      <c r="L5" s="57">
        <v>3.7999999999999999E-2</v>
      </c>
      <c r="M5" s="65" t="s">
        <v>274</v>
      </c>
      <c r="N5" s="528" t="s">
        <v>1942</v>
      </c>
      <c r="O5" s="32" t="s">
        <v>1523</v>
      </c>
      <c r="P5" s="235" t="s">
        <v>275</v>
      </c>
      <c r="Q5" s="96"/>
      <c r="S5" s="32" t="s">
        <v>1940</v>
      </c>
      <c r="T5" s="32" t="s">
        <v>1673</v>
      </c>
      <c r="U5" s="33" t="s">
        <v>255</v>
      </c>
      <c r="V5" s="32" t="s">
        <v>1674</v>
      </c>
      <c r="W5" s="32" t="s">
        <v>1674</v>
      </c>
      <c r="X5" s="516">
        <v>40000</v>
      </c>
      <c r="Y5" s="132" t="s">
        <v>274</v>
      </c>
      <c r="Z5" s="133">
        <v>30000</v>
      </c>
      <c r="AA5" s="142" t="s">
        <v>1943</v>
      </c>
      <c r="AB5" s="238" t="s">
        <v>275</v>
      </c>
      <c r="AC5" s="88"/>
    </row>
    <row r="6" spans="1:29" ht="12.75">
      <c r="B6" s="32" t="s">
        <v>1940</v>
      </c>
      <c r="C6" s="32" t="s">
        <v>1673</v>
      </c>
      <c r="D6" s="33" t="s">
        <v>255</v>
      </c>
      <c r="E6" s="32" t="s">
        <v>1674</v>
      </c>
      <c r="F6" s="32" t="s">
        <v>1674</v>
      </c>
      <c r="G6" s="34" t="s">
        <v>1941</v>
      </c>
      <c r="H6" s="32">
        <v>0.66</v>
      </c>
      <c r="I6" s="83">
        <v>2.1578675519198556</v>
      </c>
      <c r="J6" s="65" t="s">
        <v>276</v>
      </c>
      <c r="K6" s="527"/>
      <c r="L6" s="57">
        <v>3.7999999999999999E-2</v>
      </c>
      <c r="M6" s="65" t="s">
        <v>274</v>
      </c>
      <c r="N6" s="528"/>
      <c r="O6" s="32" t="s">
        <v>1944</v>
      </c>
      <c r="P6" s="236" t="s">
        <v>277</v>
      </c>
      <c r="Q6" s="95"/>
      <c r="S6" s="32" t="s">
        <v>1940</v>
      </c>
      <c r="T6" s="32" t="s">
        <v>1673</v>
      </c>
      <c r="U6" s="33" t="s">
        <v>255</v>
      </c>
      <c r="V6" s="32" t="s">
        <v>1674</v>
      </c>
      <c r="W6" s="32" t="s">
        <v>1674</v>
      </c>
      <c r="X6" s="516"/>
      <c r="Y6" s="134" t="s">
        <v>276</v>
      </c>
      <c r="Z6" s="135">
        <v>30000</v>
      </c>
      <c r="AA6" s="507" t="s">
        <v>1944</v>
      </c>
      <c r="AB6" s="490" t="s">
        <v>277</v>
      </c>
      <c r="AC6" s="131"/>
    </row>
    <row r="7" spans="1:29" ht="12.75">
      <c r="B7" s="32" t="s">
        <v>1940</v>
      </c>
      <c r="C7" s="32" t="s">
        <v>1673</v>
      </c>
      <c r="D7" s="33" t="s">
        <v>255</v>
      </c>
      <c r="E7" s="32" t="s">
        <v>1674</v>
      </c>
      <c r="F7" s="32" t="s">
        <v>1674</v>
      </c>
      <c r="G7" s="34" t="s">
        <v>1941</v>
      </c>
      <c r="H7" s="32">
        <v>0.66</v>
      </c>
      <c r="I7" s="83">
        <v>2.1578675519198556</v>
      </c>
      <c r="J7" s="65" t="s">
        <v>274</v>
      </c>
      <c r="K7" s="527"/>
      <c r="L7" s="57">
        <v>3.7999999999999999E-2</v>
      </c>
      <c r="M7" s="65" t="s">
        <v>276</v>
      </c>
      <c r="N7" s="528"/>
      <c r="O7" s="32" t="s">
        <v>1944</v>
      </c>
      <c r="P7" s="236" t="s">
        <v>277</v>
      </c>
      <c r="Q7" s="95"/>
      <c r="S7" s="32" t="s">
        <v>1940</v>
      </c>
      <c r="T7" s="32" t="s">
        <v>1673</v>
      </c>
      <c r="U7" s="33" t="s">
        <v>255</v>
      </c>
      <c r="V7" s="32" t="s">
        <v>1674</v>
      </c>
      <c r="W7" s="32" t="s">
        <v>1674</v>
      </c>
      <c r="X7" s="516"/>
      <c r="Y7" s="136" t="s">
        <v>274</v>
      </c>
      <c r="Z7" s="137">
        <v>50000</v>
      </c>
      <c r="AA7" s="507"/>
      <c r="AB7" s="490"/>
      <c r="AC7" s="131"/>
    </row>
    <row r="8" spans="1:29" ht="12.75">
      <c r="B8" s="32" t="s">
        <v>1940</v>
      </c>
      <c r="C8" s="32" t="s">
        <v>1673</v>
      </c>
      <c r="D8" s="33" t="s">
        <v>255</v>
      </c>
      <c r="E8" s="32" t="s">
        <v>1674</v>
      </c>
      <c r="F8" s="32" t="s">
        <v>1674</v>
      </c>
      <c r="G8" s="34" t="s">
        <v>1941</v>
      </c>
      <c r="H8" s="32">
        <v>0.66</v>
      </c>
      <c r="I8" s="83">
        <v>2.1578675519198556</v>
      </c>
      <c r="J8" s="65" t="s">
        <v>276</v>
      </c>
      <c r="K8" s="527"/>
      <c r="L8" s="57">
        <v>3.7999999999999999E-2</v>
      </c>
      <c r="M8" s="65" t="s">
        <v>276</v>
      </c>
      <c r="N8" s="528"/>
      <c r="O8" s="32" t="s">
        <v>1945</v>
      </c>
      <c r="P8" s="237" t="s">
        <v>256</v>
      </c>
      <c r="Q8" s="95"/>
      <c r="S8" s="32" t="s">
        <v>1940</v>
      </c>
      <c r="T8" s="32" t="s">
        <v>1673</v>
      </c>
      <c r="U8" s="33" t="s">
        <v>255</v>
      </c>
      <c r="V8" s="32" t="s">
        <v>1674</v>
      </c>
      <c r="W8" s="32" t="s">
        <v>1674</v>
      </c>
      <c r="X8" s="516"/>
      <c r="Y8" s="132" t="s">
        <v>276</v>
      </c>
      <c r="Z8" s="133">
        <v>50000</v>
      </c>
      <c r="AA8" s="142" t="s">
        <v>1946</v>
      </c>
      <c r="AB8" s="239" t="s">
        <v>256</v>
      </c>
      <c r="AC8" s="89"/>
    </row>
    <row r="9" spans="1:29" ht="12.75">
      <c r="B9" s="35" t="s">
        <v>1940</v>
      </c>
      <c r="C9" s="35" t="s">
        <v>1673</v>
      </c>
      <c r="D9" s="36" t="s">
        <v>255</v>
      </c>
      <c r="E9" s="35" t="s">
        <v>1674</v>
      </c>
      <c r="F9" s="35" t="s">
        <v>1673</v>
      </c>
      <c r="G9" s="37" t="s">
        <v>1947</v>
      </c>
      <c r="H9" s="35">
        <v>0.66</v>
      </c>
      <c r="I9" s="83">
        <v>1.1879169856528498</v>
      </c>
      <c r="J9" s="80" t="s">
        <v>274</v>
      </c>
      <c r="K9" s="510">
        <v>1.2077407737518886</v>
      </c>
      <c r="L9" s="57">
        <v>3.7999999999999999E-2</v>
      </c>
      <c r="M9" s="80" t="s">
        <v>274</v>
      </c>
      <c r="N9" s="526" t="s">
        <v>1942</v>
      </c>
      <c r="O9" s="35" t="s">
        <v>1523</v>
      </c>
      <c r="P9" s="235" t="s">
        <v>275</v>
      </c>
      <c r="Q9" s="86"/>
      <c r="S9" s="32" t="s">
        <v>1940</v>
      </c>
      <c r="T9" s="35" t="s">
        <v>1673</v>
      </c>
      <c r="U9" s="36" t="s">
        <v>255</v>
      </c>
      <c r="V9" s="35" t="s">
        <v>1674</v>
      </c>
      <c r="W9" s="35" t="s">
        <v>1673</v>
      </c>
      <c r="X9" s="515">
        <v>40000</v>
      </c>
      <c r="Y9" s="149" t="s">
        <v>274</v>
      </c>
      <c r="Z9" s="150">
        <v>30000</v>
      </c>
      <c r="AA9" s="141" t="s">
        <v>1943</v>
      </c>
      <c r="AB9" s="238" t="s">
        <v>275</v>
      </c>
      <c r="AC9" s="69"/>
    </row>
    <row r="10" spans="1:29" ht="12.75">
      <c r="B10" s="35" t="s">
        <v>1940</v>
      </c>
      <c r="C10" s="35" t="s">
        <v>1673</v>
      </c>
      <c r="D10" s="36" t="s">
        <v>255</v>
      </c>
      <c r="E10" s="35" t="s">
        <v>1674</v>
      </c>
      <c r="F10" s="35" t="s">
        <v>1673</v>
      </c>
      <c r="G10" s="37" t="s">
        <v>1947</v>
      </c>
      <c r="H10" s="35">
        <v>0.66</v>
      </c>
      <c r="I10" s="83">
        <v>1.1879169856528498</v>
      </c>
      <c r="J10" s="80" t="s">
        <v>276</v>
      </c>
      <c r="K10" s="510"/>
      <c r="L10" s="57">
        <v>3.7999999999999999E-2</v>
      </c>
      <c r="M10" s="80" t="s">
        <v>274</v>
      </c>
      <c r="N10" s="526"/>
      <c r="O10" s="35" t="s">
        <v>1944</v>
      </c>
      <c r="P10" s="236" t="s">
        <v>277</v>
      </c>
      <c r="Q10" s="87"/>
      <c r="S10" s="32" t="s">
        <v>1940</v>
      </c>
      <c r="T10" s="35" t="s">
        <v>1673</v>
      </c>
      <c r="U10" s="36" t="s">
        <v>255</v>
      </c>
      <c r="V10" s="35" t="s">
        <v>1674</v>
      </c>
      <c r="W10" s="35" t="s">
        <v>1673</v>
      </c>
      <c r="X10" s="515"/>
      <c r="Y10" s="151" t="s">
        <v>276</v>
      </c>
      <c r="Z10" s="152">
        <v>30000</v>
      </c>
      <c r="AA10" s="508" t="s">
        <v>1944</v>
      </c>
      <c r="AB10" s="490" t="s">
        <v>277</v>
      </c>
      <c r="AC10" s="69"/>
    </row>
    <row r="11" spans="1:29" ht="12.75">
      <c r="B11" s="35" t="s">
        <v>1940</v>
      </c>
      <c r="C11" s="35" t="s">
        <v>1673</v>
      </c>
      <c r="D11" s="36" t="s">
        <v>255</v>
      </c>
      <c r="E11" s="35" t="s">
        <v>1674</v>
      </c>
      <c r="F11" s="35" t="s">
        <v>1673</v>
      </c>
      <c r="G11" s="37" t="s">
        <v>1947</v>
      </c>
      <c r="H11" s="35">
        <v>0.66</v>
      </c>
      <c r="I11" s="83">
        <v>1.1879169856528498</v>
      </c>
      <c r="J11" s="80" t="s">
        <v>274</v>
      </c>
      <c r="K11" s="510"/>
      <c r="L11" s="57">
        <v>3.7999999999999999E-2</v>
      </c>
      <c r="M11" s="80" t="s">
        <v>276</v>
      </c>
      <c r="N11" s="526"/>
      <c r="O11" s="35" t="s">
        <v>1944</v>
      </c>
      <c r="P11" s="236" t="s">
        <v>277</v>
      </c>
      <c r="Q11" s="87"/>
      <c r="S11" s="32" t="s">
        <v>1940</v>
      </c>
      <c r="T11" s="35" t="s">
        <v>1673</v>
      </c>
      <c r="U11" s="36" t="s">
        <v>255</v>
      </c>
      <c r="V11" s="35" t="s">
        <v>1674</v>
      </c>
      <c r="W11" s="35" t="s">
        <v>1673</v>
      </c>
      <c r="X11" s="515"/>
      <c r="Y11" s="153" t="s">
        <v>274</v>
      </c>
      <c r="Z11" s="154">
        <v>50000</v>
      </c>
      <c r="AA11" s="508"/>
      <c r="AB11" s="490"/>
      <c r="AC11" s="69"/>
    </row>
    <row r="12" spans="1:29" ht="12.75">
      <c r="B12" s="35" t="s">
        <v>1940</v>
      </c>
      <c r="C12" s="35" t="s">
        <v>1673</v>
      </c>
      <c r="D12" s="36" t="s">
        <v>255</v>
      </c>
      <c r="E12" s="35" t="s">
        <v>1674</v>
      </c>
      <c r="F12" s="35" t="s">
        <v>1673</v>
      </c>
      <c r="G12" s="37" t="s">
        <v>1947</v>
      </c>
      <c r="H12" s="35">
        <v>0.66</v>
      </c>
      <c r="I12" s="83">
        <v>1.1879169856528498</v>
      </c>
      <c r="J12" s="80" t="s">
        <v>276</v>
      </c>
      <c r="K12" s="510"/>
      <c r="L12" s="57">
        <v>3.7999999999999999E-2</v>
      </c>
      <c r="M12" s="80" t="s">
        <v>276</v>
      </c>
      <c r="N12" s="526"/>
      <c r="O12" s="35" t="s">
        <v>1945</v>
      </c>
      <c r="P12" s="237" t="s">
        <v>256</v>
      </c>
      <c r="Q12" s="87"/>
      <c r="S12" s="32" t="s">
        <v>1940</v>
      </c>
      <c r="T12" s="35" t="s">
        <v>1673</v>
      </c>
      <c r="U12" s="36" t="s">
        <v>255</v>
      </c>
      <c r="V12" s="35" t="s">
        <v>1674</v>
      </c>
      <c r="W12" s="35" t="s">
        <v>1673</v>
      </c>
      <c r="X12" s="515"/>
      <c r="Y12" s="149" t="s">
        <v>276</v>
      </c>
      <c r="Z12" s="150">
        <v>50000</v>
      </c>
      <c r="AA12" s="141" t="s">
        <v>1946</v>
      </c>
      <c r="AB12" s="239" t="s">
        <v>256</v>
      </c>
      <c r="AC12" s="69"/>
    </row>
    <row r="13" spans="1:29" ht="12.75">
      <c r="B13" s="32" t="s">
        <v>1940</v>
      </c>
      <c r="C13" s="32" t="s">
        <v>1673</v>
      </c>
      <c r="D13" s="33" t="s">
        <v>255</v>
      </c>
      <c r="E13" s="32" t="s">
        <v>1673</v>
      </c>
      <c r="F13" s="32" t="s">
        <v>1674</v>
      </c>
      <c r="G13" s="34" t="s">
        <v>1948</v>
      </c>
      <c r="H13" s="32">
        <v>1.1200000000000001</v>
      </c>
      <c r="I13" s="83">
        <v>0.89179914283692197</v>
      </c>
      <c r="J13" s="65" t="s">
        <v>274</v>
      </c>
      <c r="K13" s="527">
        <v>1.2077407737518886</v>
      </c>
      <c r="L13" s="57">
        <v>5.7000000000000002E-2</v>
      </c>
      <c r="M13" s="65" t="s">
        <v>274</v>
      </c>
      <c r="N13" s="525" t="s">
        <v>1942</v>
      </c>
      <c r="O13" s="32" t="s">
        <v>1523</v>
      </c>
      <c r="P13" s="235" t="s">
        <v>275</v>
      </c>
      <c r="Q13" s="86"/>
      <c r="S13" s="32" t="s">
        <v>1940</v>
      </c>
      <c r="T13" s="32" t="s">
        <v>1673</v>
      </c>
      <c r="U13" s="33" t="s">
        <v>255</v>
      </c>
      <c r="V13" s="32" t="s">
        <v>1673</v>
      </c>
      <c r="W13" s="32" t="s">
        <v>1674</v>
      </c>
      <c r="X13" s="516">
        <v>12500</v>
      </c>
      <c r="Y13" s="132" t="s">
        <v>274</v>
      </c>
      <c r="Z13" s="133">
        <v>9375</v>
      </c>
      <c r="AA13" s="142" t="s">
        <v>1943</v>
      </c>
      <c r="AB13" s="238" t="s">
        <v>275</v>
      </c>
      <c r="AC13" s="69"/>
    </row>
    <row r="14" spans="1:29" ht="12.75">
      <c r="B14" s="32" t="s">
        <v>1940</v>
      </c>
      <c r="C14" s="32" t="s">
        <v>1673</v>
      </c>
      <c r="D14" s="33" t="s">
        <v>255</v>
      </c>
      <c r="E14" s="32" t="s">
        <v>1673</v>
      </c>
      <c r="F14" s="32" t="s">
        <v>1674</v>
      </c>
      <c r="G14" s="34" t="s">
        <v>1948</v>
      </c>
      <c r="H14" s="32">
        <v>1.1200000000000001</v>
      </c>
      <c r="I14" s="83">
        <v>0.89179914283692197</v>
      </c>
      <c r="J14" s="65" t="s">
        <v>276</v>
      </c>
      <c r="K14" s="527"/>
      <c r="L14" s="57">
        <v>5.7000000000000002E-2</v>
      </c>
      <c r="M14" s="65" t="s">
        <v>274</v>
      </c>
      <c r="N14" s="525"/>
      <c r="O14" s="32" t="s">
        <v>1944</v>
      </c>
      <c r="P14" s="236" t="s">
        <v>277</v>
      </c>
      <c r="Q14" s="87"/>
      <c r="S14" s="32" t="s">
        <v>1940</v>
      </c>
      <c r="T14" s="32" t="s">
        <v>1673</v>
      </c>
      <c r="U14" s="33" t="s">
        <v>255</v>
      </c>
      <c r="V14" s="32" t="s">
        <v>1673</v>
      </c>
      <c r="W14" s="32" t="s">
        <v>1674</v>
      </c>
      <c r="X14" s="516"/>
      <c r="Y14" s="134" t="s">
        <v>276</v>
      </c>
      <c r="Z14" s="135">
        <v>9375</v>
      </c>
      <c r="AA14" s="507" t="s">
        <v>1944</v>
      </c>
      <c r="AB14" s="490" t="s">
        <v>277</v>
      </c>
      <c r="AC14" s="69"/>
    </row>
    <row r="15" spans="1:29" ht="12.75">
      <c r="B15" s="32" t="s">
        <v>1940</v>
      </c>
      <c r="C15" s="32" t="s">
        <v>1673</v>
      </c>
      <c r="D15" s="33" t="s">
        <v>255</v>
      </c>
      <c r="E15" s="32" t="s">
        <v>1673</v>
      </c>
      <c r="F15" s="32" t="s">
        <v>1674</v>
      </c>
      <c r="G15" s="34" t="s">
        <v>1948</v>
      </c>
      <c r="H15" s="32">
        <v>1.1200000000000001</v>
      </c>
      <c r="I15" s="83">
        <v>0.89179914283692197</v>
      </c>
      <c r="J15" s="65" t="s">
        <v>274</v>
      </c>
      <c r="K15" s="527"/>
      <c r="L15" s="57">
        <v>5.7000000000000002E-2</v>
      </c>
      <c r="M15" s="65" t="s">
        <v>276</v>
      </c>
      <c r="N15" s="525"/>
      <c r="O15" s="32" t="s">
        <v>1944</v>
      </c>
      <c r="P15" s="236" t="s">
        <v>277</v>
      </c>
      <c r="Q15" s="87"/>
      <c r="S15" s="32" t="s">
        <v>1940</v>
      </c>
      <c r="T15" s="32" t="s">
        <v>1673</v>
      </c>
      <c r="U15" s="33" t="s">
        <v>255</v>
      </c>
      <c r="V15" s="32" t="s">
        <v>1673</v>
      </c>
      <c r="W15" s="32" t="s">
        <v>1674</v>
      </c>
      <c r="X15" s="516"/>
      <c r="Y15" s="136" t="s">
        <v>274</v>
      </c>
      <c r="Z15" s="137">
        <v>15625</v>
      </c>
      <c r="AA15" s="507"/>
      <c r="AB15" s="490"/>
      <c r="AC15" s="69"/>
    </row>
    <row r="16" spans="1:29" ht="12.75">
      <c r="B16" s="32" t="s">
        <v>1940</v>
      </c>
      <c r="C16" s="32" t="s">
        <v>1673</v>
      </c>
      <c r="D16" s="33" t="s">
        <v>255</v>
      </c>
      <c r="E16" s="32" t="s">
        <v>1673</v>
      </c>
      <c r="F16" s="32" t="s">
        <v>1674</v>
      </c>
      <c r="G16" s="34" t="s">
        <v>1948</v>
      </c>
      <c r="H16" s="32">
        <v>1.1200000000000001</v>
      </c>
      <c r="I16" s="83">
        <v>0.89179914283692197</v>
      </c>
      <c r="J16" s="65" t="s">
        <v>276</v>
      </c>
      <c r="K16" s="527"/>
      <c r="L16" s="57">
        <v>5.7000000000000002E-2</v>
      </c>
      <c r="M16" s="65" t="s">
        <v>276</v>
      </c>
      <c r="N16" s="525"/>
      <c r="O16" s="32" t="s">
        <v>1945</v>
      </c>
      <c r="P16" s="237" t="s">
        <v>256</v>
      </c>
      <c r="Q16" s="87"/>
      <c r="S16" s="32" t="s">
        <v>1940</v>
      </c>
      <c r="T16" s="32" t="s">
        <v>1673</v>
      </c>
      <c r="U16" s="33" t="s">
        <v>255</v>
      </c>
      <c r="V16" s="32" t="s">
        <v>1673</v>
      </c>
      <c r="W16" s="32" t="s">
        <v>1674</v>
      </c>
      <c r="X16" s="516"/>
      <c r="Y16" s="132" t="s">
        <v>276</v>
      </c>
      <c r="Z16" s="133">
        <v>15625</v>
      </c>
      <c r="AA16" s="142" t="s">
        <v>1946</v>
      </c>
      <c r="AB16" s="239" t="s">
        <v>256</v>
      </c>
      <c r="AC16" s="69"/>
    </row>
    <row r="17" spans="2:29" ht="12.75">
      <c r="B17" s="35" t="s">
        <v>1940</v>
      </c>
      <c r="C17" s="35" t="s">
        <v>1673</v>
      </c>
      <c r="D17" s="36" t="s">
        <v>255</v>
      </c>
      <c r="E17" s="35" t="s">
        <v>1673</v>
      </c>
      <c r="F17" s="35" t="s">
        <v>1673</v>
      </c>
      <c r="G17" s="37" t="s">
        <v>1949</v>
      </c>
      <c r="H17" s="35">
        <v>1.1200000000000001</v>
      </c>
      <c r="I17" s="83">
        <v>0.5590712004266758</v>
      </c>
      <c r="J17" s="80" t="s">
        <v>274</v>
      </c>
      <c r="K17" s="510">
        <v>1.2077407737518886</v>
      </c>
      <c r="L17" s="57">
        <v>5.7000000000000002E-2</v>
      </c>
      <c r="M17" s="80" t="s">
        <v>274</v>
      </c>
      <c r="N17" s="526" t="s">
        <v>1942</v>
      </c>
      <c r="O17" s="35" t="s">
        <v>1523</v>
      </c>
      <c r="P17" s="235" t="s">
        <v>275</v>
      </c>
      <c r="Q17" s="86"/>
      <c r="S17" s="32" t="s">
        <v>1940</v>
      </c>
      <c r="T17" s="35" t="s">
        <v>1673</v>
      </c>
      <c r="U17" s="36" t="s">
        <v>255</v>
      </c>
      <c r="V17" s="35" t="s">
        <v>1673</v>
      </c>
      <c r="W17" s="35" t="s">
        <v>1673</v>
      </c>
      <c r="X17" s="515">
        <v>14000</v>
      </c>
      <c r="Y17" s="149" t="s">
        <v>274</v>
      </c>
      <c r="Z17" s="150">
        <v>10500</v>
      </c>
      <c r="AA17" s="141" t="s">
        <v>1943</v>
      </c>
      <c r="AB17" s="238" t="s">
        <v>275</v>
      </c>
      <c r="AC17" s="69"/>
    </row>
    <row r="18" spans="2:29" ht="12.75">
      <c r="B18" s="35" t="s">
        <v>1940</v>
      </c>
      <c r="C18" s="35" t="s">
        <v>1673</v>
      </c>
      <c r="D18" s="36" t="s">
        <v>255</v>
      </c>
      <c r="E18" s="35" t="s">
        <v>1673</v>
      </c>
      <c r="F18" s="35" t="s">
        <v>1673</v>
      </c>
      <c r="G18" s="37" t="s">
        <v>1949</v>
      </c>
      <c r="H18" s="35">
        <v>1.1200000000000001</v>
      </c>
      <c r="I18" s="83">
        <v>0.5590712004266758</v>
      </c>
      <c r="J18" s="80" t="s">
        <v>276</v>
      </c>
      <c r="K18" s="510"/>
      <c r="L18" s="57">
        <v>5.7000000000000002E-2</v>
      </c>
      <c r="M18" s="80" t="s">
        <v>274</v>
      </c>
      <c r="N18" s="526"/>
      <c r="O18" s="35" t="s">
        <v>1944</v>
      </c>
      <c r="P18" s="236" t="s">
        <v>277</v>
      </c>
      <c r="Q18" s="87"/>
      <c r="S18" s="32" t="s">
        <v>1940</v>
      </c>
      <c r="T18" s="35" t="s">
        <v>1673</v>
      </c>
      <c r="U18" s="36" t="s">
        <v>255</v>
      </c>
      <c r="V18" s="35" t="s">
        <v>1673</v>
      </c>
      <c r="W18" s="35" t="s">
        <v>1673</v>
      </c>
      <c r="X18" s="515"/>
      <c r="Y18" s="151" t="s">
        <v>276</v>
      </c>
      <c r="Z18" s="152">
        <v>10500</v>
      </c>
      <c r="AA18" s="508" t="s">
        <v>1944</v>
      </c>
      <c r="AB18" s="490" t="s">
        <v>277</v>
      </c>
      <c r="AC18" s="69"/>
    </row>
    <row r="19" spans="2:29" ht="12.75">
      <c r="B19" s="35" t="s">
        <v>1940</v>
      </c>
      <c r="C19" s="35" t="s">
        <v>1673</v>
      </c>
      <c r="D19" s="36" t="s">
        <v>255</v>
      </c>
      <c r="E19" s="35" t="s">
        <v>1673</v>
      </c>
      <c r="F19" s="35" t="s">
        <v>1673</v>
      </c>
      <c r="G19" s="37" t="s">
        <v>1949</v>
      </c>
      <c r="H19" s="35">
        <v>1.1200000000000001</v>
      </c>
      <c r="I19" s="83">
        <v>0.5590712004266758</v>
      </c>
      <c r="J19" s="80" t="s">
        <v>274</v>
      </c>
      <c r="K19" s="510"/>
      <c r="L19" s="57">
        <v>5.7000000000000002E-2</v>
      </c>
      <c r="M19" s="80" t="s">
        <v>276</v>
      </c>
      <c r="N19" s="526"/>
      <c r="O19" s="35" t="s">
        <v>1944</v>
      </c>
      <c r="P19" s="236" t="s">
        <v>277</v>
      </c>
      <c r="Q19" s="87"/>
      <c r="S19" s="32" t="s">
        <v>1940</v>
      </c>
      <c r="T19" s="35" t="s">
        <v>1673</v>
      </c>
      <c r="U19" s="36" t="s">
        <v>255</v>
      </c>
      <c r="V19" s="35" t="s">
        <v>1673</v>
      </c>
      <c r="W19" s="35" t="s">
        <v>1673</v>
      </c>
      <c r="X19" s="515"/>
      <c r="Y19" s="153" t="s">
        <v>274</v>
      </c>
      <c r="Z19" s="154">
        <v>17500</v>
      </c>
      <c r="AA19" s="508"/>
      <c r="AB19" s="490"/>
      <c r="AC19" s="69"/>
    </row>
    <row r="20" spans="2:29" ht="12.75">
      <c r="B20" s="35" t="s">
        <v>1940</v>
      </c>
      <c r="C20" s="35" t="s">
        <v>1673</v>
      </c>
      <c r="D20" s="36" t="s">
        <v>255</v>
      </c>
      <c r="E20" s="35" t="s">
        <v>1673</v>
      </c>
      <c r="F20" s="35" t="s">
        <v>1673</v>
      </c>
      <c r="G20" s="37" t="s">
        <v>1949</v>
      </c>
      <c r="H20" s="35">
        <v>1.1200000000000001</v>
      </c>
      <c r="I20" s="83">
        <v>0.5590712004266758</v>
      </c>
      <c r="J20" s="80" t="s">
        <v>276</v>
      </c>
      <c r="K20" s="510"/>
      <c r="L20" s="57">
        <v>5.7000000000000002E-2</v>
      </c>
      <c r="M20" s="80" t="s">
        <v>276</v>
      </c>
      <c r="N20" s="526"/>
      <c r="O20" s="35" t="s">
        <v>1945</v>
      </c>
      <c r="P20" s="237" t="s">
        <v>256</v>
      </c>
      <c r="Q20" s="87"/>
      <c r="S20" s="32" t="s">
        <v>1940</v>
      </c>
      <c r="T20" s="35" t="s">
        <v>1673</v>
      </c>
      <c r="U20" s="36" t="s">
        <v>255</v>
      </c>
      <c r="V20" s="35" t="s">
        <v>1673</v>
      </c>
      <c r="W20" s="35" t="s">
        <v>1673</v>
      </c>
      <c r="X20" s="515"/>
      <c r="Y20" s="149" t="s">
        <v>276</v>
      </c>
      <c r="Z20" s="150">
        <v>17500</v>
      </c>
      <c r="AA20" s="141" t="s">
        <v>1946</v>
      </c>
      <c r="AB20" s="239" t="s">
        <v>256</v>
      </c>
      <c r="AC20" s="69"/>
    </row>
    <row r="21" spans="2:29" ht="12.75">
      <c r="B21" s="41" t="s">
        <v>1940</v>
      </c>
      <c r="C21" s="41" t="s">
        <v>1673</v>
      </c>
      <c r="D21" s="42" t="s">
        <v>257</v>
      </c>
      <c r="E21" s="41" t="s">
        <v>1674</v>
      </c>
      <c r="F21" s="41" t="s">
        <v>1674</v>
      </c>
      <c r="G21" s="43" t="s">
        <v>1950</v>
      </c>
      <c r="H21" s="41">
        <v>0.66</v>
      </c>
      <c r="I21" s="83">
        <v>1.214348703118235</v>
      </c>
      <c r="J21" s="65" t="s">
        <v>274</v>
      </c>
      <c r="K21" s="527">
        <v>1.2077407737518886</v>
      </c>
      <c r="L21" s="57">
        <v>2.8000000000000001E-2</v>
      </c>
      <c r="M21" s="65" t="s">
        <v>274</v>
      </c>
      <c r="N21" s="525" t="s">
        <v>1942</v>
      </c>
      <c r="O21" s="32" t="s">
        <v>1523</v>
      </c>
      <c r="P21" s="235" t="s">
        <v>275</v>
      </c>
      <c r="Q21" s="86"/>
      <c r="S21" s="32" t="s">
        <v>1940</v>
      </c>
      <c r="T21" s="41" t="s">
        <v>1673</v>
      </c>
      <c r="U21" s="42" t="s">
        <v>257</v>
      </c>
      <c r="V21" s="41" t="s">
        <v>1674</v>
      </c>
      <c r="W21" s="41" t="s">
        <v>1674</v>
      </c>
      <c r="X21" s="516">
        <v>28000</v>
      </c>
      <c r="Y21" s="132" t="s">
        <v>274</v>
      </c>
      <c r="Z21" s="133">
        <v>21000</v>
      </c>
      <c r="AA21" s="142" t="s">
        <v>1943</v>
      </c>
      <c r="AB21" s="238" t="s">
        <v>275</v>
      </c>
      <c r="AC21" s="69"/>
    </row>
    <row r="22" spans="2:29" ht="12.75">
      <c r="B22" s="41" t="s">
        <v>1940</v>
      </c>
      <c r="C22" s="41" t="s">
        <v>1673</v>
      </c>
      <c r="D22" s="42" t="s">
        <v>257</v>
      </c>
      <c r="E22" s="41" t="s">
        <v>1674</v>
      </c>
      <c r="F22" s="41" t="s">
        <v>1674</v>
      </c>
      <c r="G22" s="43" t="s">
        <v>1950</v>
      </c>
      <c r="H22" s="41">
        <v>0.66</v>
      </c>
      <c r="I22" s="83">
        <v>1.214348703118235</v>
      </c>
      <c r="J22" s="65" t="s">
        <v>276</v>
      </c>
      <c r="K22" s="527"/>
      <c r="L22" s="57">
        <v>2.8000000000000001E-2</v>
      </c>
      <c r="M22" s="65" t="s">
        <v>274</v>
      </c>
      <c r="N22" s="525"/>
      <c r="O22" s="32" t="s">
        <v>1944</v>
      </c>
      <c r="P22" s="236" t="s">
        <v>277</v>
      </c>
      <c r="Q22" s="87"/>
      <c r="S22" s="32" t="s">
        <v>1940</v>
      </c>
      <c r="T22" s="41" t="s">
        <v>1673</v>
      </c>
      <c r="U22" s="42" t="s">
        <v>257</v>
      </c>
      <c r="V22" s="41" t="s">
        <v>1674</v>
      </c>
      <c r="W22" s="41" t="s">
        <v>1674</v>
      </c>
      <c r="X22" s="516"/>
      <c r="Y22" s="134" t="s">
        <v>276</v>
      </c>
      <c r="Z22" s="135">
        <v>21000</v>
      </c>
      <c r="AA22" s="507" t="s">
        <v>1944</v>
      </c>
      <c r="AB22" s="490" t="s">
        <v>277</v>
      </c>
      <c r="AC22" s="69"/>
    </row>
    <row r="23" spans="2:29" ht="12.75">
      <c r="B23" s="41" t="s">
        <v>1940</v>
      </c>
      <c r="C23" s="41" t="s">
        <v>1673</v>
      </c>
      <c r="D23" s="42" t="s">
        <v>257</v>
      </c>
      <c r="E23" s="41" t="s">
        <v>1674</v>
      </c>
      <c r="F23" s="41" t="s">
        <v>1674</v>
      </c>
      <c r="G23" s="43" t="s">
        <v>1950</v>
      </c>
      <c r="H23" s="41">
        <v>0.66</v>
      </c>
      <c r="I23" s="83">
        <v>1.214348703118235</v>
      </c>
      <c r="J23" s="65" t="s">
        <v>274</v>
      </c>
      <c r="K23" s="527"/>
      <c r="L23" s="57">
        <v>2.8000000000000001E-2</v>
      </c>
      <c r="M23" s="65" t="s">
        <v>276</v>
      </c>
      <c r="N23" s="525"/>
      <c r="O23" s="32" t="s">
        <v>1944</v>
      </c>
      <c r="P23" s="236" t="s">
        <v>277</v>
      </c>
      <c r="Q23" s="87"/>
      <c r="S23" s="32" t="s">
        <v>1940</v>
      </c>
      <c r="T23" s="41" t="s">
        <v>1673</v>
      </c>
      <c r="U23" s="42" t="s">
        <v>257</v>
      </c>
      <c r="V23" s="41" t="s">
        <v>1674</v>
      </c>
      <c r="W23" s="41" t="s">
        <v>1674</v>
      </c>
      <c r="X23" s="516"/>
      <c r="Y23" s="136" t="s">
        <v>274</v>
      </c>
      <c r="Z23" s="137">
        <v>35000</v>
      </c>
      <c r="AA23" s="507"/>
      <c r="AB23" s="490"/>
      <c r="AC23" s="69"/>
    </row>
    <row r="24" spans="2:29" ht="12.75">
      <c r="B24" s="41" t="s">
        <v>1940</v>
      </c>
      <c r="C24" s="41" t="s">
        <v>1673</v>
      </c>
      <c r="D24" s="42" t="s">
        <v>257</v>
      </c>
      <c r="E24" s="41" t="s">
        <v>1674</v>
      </c>
      <c r="F24" s="41" t="s">
        <v>1674</v>
      </c>
      <c r="G24" s="43" t="s">
        <v>1950</v>
      </c>
      <c r="H24" s="41">
        <v>0.66</v>
      </c>
      <c r="I24" s="83">
        <v>1.214348703118235</v>
      </c>
      <c r="J24" s="65" t="s">
        <v>276</v>
      </c>
      <c r="K24" s="527"/>
      <c r="L24" s="57">
        <v>2.8000000000000001E-2</v>
      </c>
      <c r="M24" s="65" t="s">
        <v>276</v>
      </c>
      <c r="N24" s="525"/>
      <c r="O24" s="32" t="s">
        <v>1945</v>
      </c>
      <c r="P24" s="237" t="s">
        <v>256</v>
      </c>
      <c r="Q24" s="87"/>
      <c r="S24" s="32" t="s">
        <v>1940</v>
      </c>
      <c r="T24" s="41" t="s">
        <v>1673</v>
      </c>
      <c r="U24" s="42" t="s">
        <v>257</v>
      </c>
      <c r="V24" s="41" t="s">
        <v>1674</v>
      </c>
      <c r="W24" s="41" t="s">
        <v>1674</v>
      </c>
      <c r="X24" s="516"/>
      <c r="Y24" s="132" t="s">
        <v>276</v>
      </c>
      <c r="Z24" s="133">
        <v>35000</v>
      </c>
      <c r="AA24" s="142" t="s">
        <v>1946</v>
      </c>
      <c r="AB24" s="239" t="s">
        <v>256</v>
      </c>
      <c r="AC24" s="69"/>
    </row>
    <row r="25" spans="2:29" ht="12.75">
      <c r="B25" s="35" t="s">
        <v>1940</v>
      </c>
      <c r="C25" s="35" t="s">
        <v>1673</v>
      </c>
      <c r="D25" s="36" t="s">
        <v>257</v>
      </c>
      <c r="E25" s="35" t="s">
        <v>1674</v>
      </c>
      <c r="F25" s="35" t="s">
        <v>1673</v>
      </c>
      <c r="G25" s="37" t="s">
        <v>1951</v>
      </c>
      <c r="H25" s="35">
        <v>0.66</v>
      </c>
      <c r="I25" s="83">
        <v>0.66659992639256305</v>
      </c>
      <c r="J25" s="80" t="s">
        <v>274</v>
      </c>
      <c r="K25" s="510">
        <v>1.2077407737518886</v>
      </c>
      <c r="L25" s="57">
        <v>2.8000000000000001E-2</v>
      </c>
      <c r="M25" s="80" t="s">
        <v>274</v>
      </c>
      <c r="N25" s="526" t="s">
        <v>1942</v>
      </c>
      <c r="O25" s="35" t="s">
        <v>1523</v>
      </c>
      <c r="P25" s="235" t="s">
        <v>275</v>
      </c>
      <c r="Q25" s="86"/>
      <c r="S25" s="32" t="s">
        <v>1940</v>
      </c>
      <c r="T25" s="35" t="s">
        <v>1673</v>
      </c>
      <c r="U25" s="36" t="s">
        <v>257</v>
      </c>
      <c r="V25" s="35" t="s">
        <v>1674</v>
      </c>
      <c r="W25" s="35" t="s">
        <v>1673</v>
      </c>
      <c r="X25" s="515">
        <v>28000</v>
      </c>
      <c r="Y25" s="149" t="s">
        <v>274</v>
      </c>
      <c r="Z25" s="150">
        <v>21000</v>
      </c>
      <c r="AA25" s="141" t="s">
        <v>1943</v>
      </c>
      <c r="AB25" s="238" t="s">
        <v>275</v>
      </c>
      <c r="AC25" s="69"/>
    </row>
    <row r="26" spans="2:29" ht="12.75">
      <c r="B26" s="35" t="s">
        <v>1940</v>
      </c>
      <c r="C26" s="35" t="s">
        <v>1673</v>
      </c>
      <c r="D26" s="36" t="s">
        <v>257</v>
      </c>
      <c r="E26" s="35" t="s">
        <v>1674</v>
      </c>
      <c r="F26" s="35" t="s">
        <v>1673</v>
      </c>
      <c r="G26" s="37" t="s">
        <v>1951</v>
      </c>
      <c r="H26" s="35">
        <v>0.66</v>
      </c>
      <c r="I26" s="83">
        <v>0.66659992639256305</v>
      </c>
      <c r="J26" s="80" t="s">
        <v>276</v>
      </c>
      <c r="K26" s="510"/>
      <c r="L26" s="57">
        <v>2.8000000000000001E-2</v>
      </c>
      <c r="M26" s="80" t="s">
        <v>274</v>
      </c>
      <c r="N26" s="526"/>
      <c r="O26" s="35" t="s">
        <v>1944</v>
      </c>
      <c r="P26" s="236" t="s">
        <v>277</v>
      </c>
      <c r="Q26" s="87"/>
      <c r="S26" s="32" t="s">
        <v>1940</v>
      </c>
      <c r="T26" s="35" t="s">
        <v>1673</v>
      </c>
      <c r="U26" s="36" t="s">
        <v>257</v>
      </c>
      <c r="V26" s="35" t="s">
        <v>1674</v>
      </c>
      <c r="W26" s="35" t="s">
        <v>1673</v>
      </c>
      <c r="X26" s="515"/>
      <c r="Y26" s="151" t="s">
        <v>276</v>
      </c>
      <c r="Z26" s="152">
        <v>21000</v>
      </c>
      <c r="AA26" s="508" t="s">
        <v>1944</v>
      </c>
      <c r="AB26" s="490" t="s">
        <v>277</v>
      </c>
      <c r="AC26" s="69"/>
    </row>
    <row r="27" spans="2:29" ht="12.75">
      <c r="B27" s="35" t="s">
        <v>1940</v>
      </c>
      <c r="C27" s="35" t="s">
        <v>1673</v>
      </c>
      <c r="D27" s="36" t="s">
        <v>257</v>
      </c>
      <c r="E27" s="35" t="s">
        <v>1674</v>
      </c>
      <c r="F27" s="35" t="s">
        <v>1673</v>
      </c>
      <c r="G27" s="37" t="s">
        <v>1951</v>
      </c>
      <c r="H27" s="35">
        <v>0.66</v>
      </c>
      <c r="I27" s="83">
        <v>0.66659992639256305</v>
      </c>
      <c r="J27" s="80" t="s">
        <v>274</v>
      </c>
      <c r="K27" s="510"/>
      <c r="L27" s="57">
        <v>2.8000000000000001E-2</v>
      </c>
      <c r="M27" s="80" t="s">
        <v>276</v>
      </c>
      <c r="N27" s="526"/>
      <c r="O27" s="35" t="s">
        <v>1944</v>
      </c>
      <c r="P27" s="236" t="s">
        <v>277</v>
      </c>
      <c r="Q27" s="87"/>
      <c r="S27" s="32" t="s">
        <v>1940</v>
      </c>
      <c r="T27" s="35" t="s">
        <v>1673</v>
      </c>
      <c r="U27" s="36" t="s">
        <v>257</v>
      </c>
      <c r="V27" s="35" t="s">
        <v>1674</v>
      </c>
      <c r="W27" s="35" t="s">
        <v>1673</v>
      </c>
      <c r="X27" s="515"/>
      <c r="Y27" s="153" t="s">
        <v>274</v>
      </c>
      <c r="Z27" s="154">
        <v>35000</v>
      </c>
      <c r="AA27" s="508"/>
      <c r="AB27" s="490"/>
      <c r="AC27" s="69"/>
    </row>
    <row r="28" spans="2:29" ht="12.75">
      <c r="B28" s="35" t="s">
        <v>1940</v>
      </c>
      <c r="C28" s="35" t="s">
        <v>1673</v>
      </c>
      <c r="D28" s="36" t="s">
        <v>257</v>
      </c>
      <c r="E28" s="35" t="s">
        <v>1674</v>
      </c>
      <c r="F28" s="35" t="s">
        <v>1673</v>
      </c>
      <c r="G28" s="37" t="s">
        <v>1951</v>
      </c>
      <c r="H28" s="35">
        <v>0.66</v>
      </c>
      <c r="I28" s="83">
        <v>0.66659992639256305</v>
      </c>
      <c r="J28" s="80" t="s">
        <v>276</v>
      </c>
      <c r="K28" s="510"/>
      <c r="L28" s="57">
        <v>2.8000000000000001E-2</v>
      </c>
      <c r="M28" s="80" t="s">
        <v>276</v>
      </c>
      <c r="N28" s="526"/>
      <c r="O28" s="35" t="s">
        <v>1945</v>
      </c>
      <c r="P28" s="237" t="s">
        <v>256</v>
      </c>
      <c r="Q28" s="87"/>
      <c r="S28" s="32" t="s">
        <v>1940</v>
      </c>
      <c r="T28" s="35" t="s">
        <v>1673</v>
      </c>
      <c r="U28" s="36" t="s">
        <v>257</v>
      </c>
      <c r="V28" s="35" t="s">
        <v>1674</v>
      </c>
      <c r="W28" s="35" t="s">
        <v>1673</v>
      </c>
      <c r="X28" s="515"/>
      <c r="Y28" s="149" t="s">
        <v>276</v>
      </c>
      <c r="Z28" s="150">
        <v>35000</v>
      </c>
      <c r="AA28" s="141" t="s">
        <v>1946</v>
      </c>
      <c r="AB28" s="239" t="s">
        <v>256</v>
      </c>
      <c r="AC28" s="69"/>
    </row>
    <row r="29" spans="2:29" ht="12.75">
      <c r="B29" s="41" t="s">
        <v>1940</v>
      </c>
      <c r="C29" s="41" t="s">
        <v>1673</v>
      </c>
      <c r="D29" s="42" t="s">
        <v>257</v>
      </c>
      <c r="E29" s="41" t="s">
        <v>1673</v>
      </c>
      <c r="F29" s="41" t="s">
        <v>1674</v>
      </c>
      <c r="G29" s="43" t="s">
        <v>1952</v>
      </c>
      <c r="H29" s="41">
        <v>1.1200000000000001</v>
      </c>
      <c r="I29" s="83">
        <v>0.5241847786996584</v>
      </c>
      <c r="J29" s="65" t="s">
        <v>274</v>
      </c>
      <c r="K29" s="527">
        <v>1.2077407737518886</v>
      </c>
      <c r="L29" s="57">
        <v>0.05</v>
      </c>
      <c r="M29" s="65" t="s">
        <v>274</v>
      </c>
      <c r="N29" s="525" t="s">
        <v>1942</v>
      </c>
      <c r="O29" s="32" t="s">
        <v>1523</v>
      </c>
      <c r="P29" s="235" t="s">
        <v>275</v>
      </c>
      <c r="Q29" s="86"/>
      <c r="S29" s="32" t="s">
        <v>1940</v>
      </c>
      <c r="T29" s="41" t="s">
        <v>1673</v>
      </c>
      <c r="U29" s="42" t="s">
        <v>257</v>
      </c>
      <c r="V29" s="41" t="s">
        <v>1673</v>
      </c>
      <c r="W29" s="41" t="s">
        <v>1674</v>
      </c>
      <c r="X29" s="516">
        <v>11000</v>
      </c>
      <c r="Y29" s="132" t="s">
        <v>274</v>
      </c>
      <c r="Z29" s="133">
        <v>8250</v>
      </c>
      <c r="AA29" s="142" t="s">
        <v>1943</v>
      </c>
      <c r="AB29" s="238" t="s">
        <v>275</v>
      </c>
      <c r="AC29" s="69"/>
    </row>
    <row r="30" spans="2:29" ht="12.75">
      <c r="B30" s="41" t="s">
        <v>1940</v>
      </c>
      <c r="C30" s="41" t="s">
        <v>1673</v>
      </c>
      <c r="D30" s="42" t="s">
        <v>257</v>
      </c>
      <c r="E30" s="41" t="s">
        <v>1673</v>
      </c>
      <c r="F30" s="41" t="s">
        <v>1674</v>
      </c>
      <c r="G30" s="43" t="s">
        <v>1952</v>
      </c>
      <c r="H30" s="41">
        <v>1.1200000000000001</v>
      </c>
      <c r="I30" s="83">
        <v>0.5241847786996584</v>
      </c>
      <c r="J30" s="65" t="s">
        <v>276</v>
      </c>
      <c r="K30" s="527"/>
      <c r="L30" s="57">
        <v>0.05</v>
      </c>
      <c r="M30" s="65" t="s">
        <v>274</v>
      </c>
      <c r="N30" s="525"/>
      <c r="O30" s="32" t="s">
        <v>1944</v>
      </c>
      <c r="P30" s="236" t="s">
        <v>277</v>
      </c>
      <c r="Q30" s="87"/>
      <c r="S30" s="32" t="s">
        <v>1940</v>
      </c>
      <c r="T30" s="41" t="s">
        <v>1673</v>
      </c>
      <c r="U30" s="42" t="s">
        <v>257</v>
      </c>
      <c r="V30" s="41" t="s">
        <v>1673</v>
      </c>
      <c r="W30" s="41" t="s">
        <v>1674</v>
      </c>
      <c r="X30" s="516"/>
      <c r="Y30" s="134" t="s">
        <v>276</v>
      </c>
      <c r="Z30" s="135">
        <v>8250</v>
      </c>
      <c r="AA30" s="507" t="s">
        <v>1944</v>
      </c>
      <c r="AB30" s="490" t="s">
        <v>277</v>
      </c>
      <c r="AC30" s="69"/>
    </row>
    <row r="31" spans="2:29" ht="12.75">
      <c r="B31" s="41" t="s">
        <v>1940</v>
      </c>
      <c r="C31" s="41" t="s">
        <v>1673</v>
      </c>
      <c r="D31" s="42" t="s">
        <v>257</v>
      </c>
      <c r="E31" s="41" t="s">
        <v>1673</v>
      </c>
      <c r="F31" s="41" t="s">
        <v>1674</v>
      </c>
      <c r="G31" s="43" t="s">
        <v>1952</v>
      </c>
      <c r="H31" s="41">
        <v>1.1200000000000001</v>
      </c>
      <c r="I31" s="83">
        <v>0.5241847786996584</v>
      </c>
      <c r="J31" s="65" t="s">
        <v>274</v>
      </c>
      <c r="K31" s="527"/>
      <c r="L31" s="57">
        <v>0.05</v>
      </c>
      <c r="M31" s="65" t="s">
        <v>276</v>
      </c>
      <c r="N31" s="525"/>
      <c r="O31" s="32" t="s">
        <v>1944</v>
      </c>
      <c r="P31" s="236" t="s">
        <v>277</v>
      </c>
      <c r="Q31" s="87"/>
      <c r="S31" s="32" t="s">
        <v>1940</v>
      </c>
      <c r="T31" s="41" t="s">
        <v>1673</v>
      </c>
      <c r="U31" s="42" t="s">
        <v>257</v>
      </c>
      <c r="V31" s="41" t="s">
        <v>1673</v>
      </c>
      <c r="W31" s="41" t="s">
        <v>1674</v>
      </c>
      <c r="X31" s="516"/>
      <c r="Y31" s="136" t="s">
        <v>274</v>
      </c>
      <c r="Z31" s="137">
        <v>13750</v>
      </c>
      <c r="AA31" s="507"/>
      <c r="AB31" s="490"/>
      <c r="AC31" s="69"/>
    </row>
    <row r="32" spans="2:29" ht="12.75">
      <c r="B32" s="41" t="s">
        <v>1940</v>
      </c>
      <c r="C32" s="41" t="s">
        <v>1673</v>
      </c>
      <c r="D32" s="42" t="s">
        <v>257</v>
      </c>
      <c r="E32" s="41" t="s">
        <v>1673</v>
      </c>
      <c r="F32" s="41" t="s">
        <v>1674</v>
      </c>
      <c r="G32" s="43" t="s">
        <v>1952</v>
      </c>
      <c r="H32" s="41">
        <v>1.1200000000000001</v>
      </c>
      <c r="I32" s="83">
        <v>0.5241847786996584</v>
      </c>
      <c r="J32" s="65" t="s">
        <v>276</v>
      </c>
      <c r="K32" s="527"/>
      <c r="L32" s="57">
        <v>0.05</v>
      </c>
      <c r="M32" s="65" t="s">
        <v>276</v>
      </c>
      <c r="N32" s="525"/>
      <c r="O32" s="32" t="s">
        <v>1945</v>
      </c>
      <c r="P32" s="237" t="s">
        <v>256</v>
      </c>
      <c r="Q32" s="87"/>
      <c r="S32" s="32" t="s">
        <v>1940</v>
      </c>
      <c r="T32" s="41" t="s">
        <v>1673</v>
      </c>
      <c r="U32" s="42" t="s">
        <v>257</v>
      </c>
      <c r="V32" s="41" t="s">
        <v>1673</v>
      </c>
      <c r="W32" s="41" t="s">
        <v>1674</v>
      </c>
      <c r="X32" s="516"/>
      <c r="Y32" s="132" t="s">
        <v>276</v>
      </c>
      <c r="Z32" s="133">
        <v>13750</v>
      </c>
      <c r="AA32" s="142" t="s">
        <v>1946</v>
      </c>
      <c r="AB32" s="239" t="s">
        <v>256</v>
      </c>
      <c r="AC32" s="69"/>
    </row>
    <row r="33" spans="2:29" ht="12.75">
      <c r="B33" s="44" t="s">
        <v>1940</v>
      </c>
      <c r="C33" s="44" t="s">
        <v>1673</v>
      </c>
      <c r="D33" s="45" t="s">
        <v>257</v>
      </c>
      <c r="E33" s="44" t="s">
        <v>1673</v>
      </c>
      <c r="F33" s="44" t="s">
        <v>1673</v>
      </c>
      <c r="G33" s="46" t="s">
        <v>1953</v>
      </c>
      <c r="H33" s="44">
        <v>1.1200000000000001</v>
      </c>
      <c r="I33" s="83">
        <v>0.31744158395133371</v>
      </c>
      <c r="J33" s="80" t="s">
        <v>274</v>
      </c>
      <c r="K33" s="510">
        <v>1.2077407737518886</v>
      </c>
      <c r="L33" s="57">
        <v>0.05</v>
      </c>
      <c r="M33" s="80" t="s">
        <v>274</v>
      </c>
      <c r="N33" s="526" t="s">
        <v>1942</v>
      </c>
      <c r="O33" s="35" t="s">
        <v>1523</v>
      </c>
      <c r="P33" s="235" t="s">
        <v>275</v>
      </c>
      <c r="Q33" s="86"/>
      <c r="S33" s="32" t="s">
        <v>1940</v>
      </c>
      <c r="T33" s="44" t="s">
        <v>1673</v>
      </c>
      <c r="U33" s="45" t="s">
        <v>257</v>
      </c>
      <c r="V33" s="44" t="s">
        <v>1673</v>
      </c>
      <c r="W33" s="44" t="s">
        <v>1673</v>
      </c>
      <c r="X33" s="515">
        <v>12000</v>
      </c>
      <c r="Y33" s="149" t="s">
        <v>274</v>
      </c>
      <c r="Z33" s="150">
        <v>9000</v>
      </c>
      <c r="AA33" s="141" t="s">
        <v>1943</v>
      </c>
      <c r="AB33" s="238" t="s">
        <v>275</v>
      </c>
      <c r="AC33" s="69"/>
    </row>
    <row r="34" spans="2:29" ht="12.75">
      <c r="B34" s="44" t="s">
        <v>1940</v>
      </c>
      <c r="C34" s="44" t="s">
        <v>1673</v>
      </c>
      <c r="D34" s="45" t="s">
        <v>257</v>
      </c>
      <c r="E34" s="44" t="s">
        <v>1673</v>
      </c>
      <c r="F34" s="44" t="s">
        <v>1673</v>
      </c>
      <c r="G34" s="46" t="s">
        <v>1953</v>
      </c>
      <c r="H34" s="44">
        <v>1.1200000000000001</v>
      </c>
      <c r="I34" s="83">
        <v>0.31744158395133371</v>
      </c>
      <c r="J34" s="80" t="s">
        <v>276</v>
      </c>
      <c r="K34" s="510"/>
      <c r="L34" s="57">
        <v>0.05</v>
      </c>
      <c r="M34" s="80" t="s">
        <v>274</v>
      </c>
      <c r="N34" s="526"/>
      <c r="O34" s="35" t="s">
        <v>1944</v>
      </c>
      <c r="P34" s="236" t="s">
        <v>277</v>
      </c>
      <c r="Q34" s="87"/>
      <c r="S34" s="32" t="s">
        <v>1940</v>
      </c>
      <c r="T34" s="44" t="s">
        <v>1673</v>
      </c>
      <c r="U34" s="45" t="s">
        <v>257</v>
      </c>
      <c r="V34" s="44" t="s">
        <v>1673</v>
      </c>
      <c r="W34" s="44" t="s">
        <v>1673</v>
      </c>
      <c r="X34" s="515"/>
      <c r="Y34" s="151" t="s">
        <v>276</v>
      </c>
      <c r="Z34" s="152">
        <v>9000</v>
      </c>
      <c r="AA34" s="508" t="s">
        <v>1944</v>
      </c>
      <c r="AB34" s="490" t="s">
        <v>277</v>
      </c>
      <c r="AC34" s="69"/>
    </row>
    <row r="35" spans="2:29" ht="12.75">
      <c r="B35" s="44" t="s">
        <v>1940</v>
      </c>
      <c r="C35" s="44" t="s">
        <v>1673</v>
      </c>
      <c r="D35" s="45" t="s">
        <v>257</v>
      </c>
      <c r="E35" s="44" t="s">
        <v>1673</v>
      </c>
      <c r="F35" s="44" t="s">
        <v>1673</v>
      </c>
      <c r="G35" s="46" t="s">
        <v>1953</v>
      </c>
      <c r="H35" s="44">
        <v>1.1200000000000001</v>
      </c>
      <c r="I35" s="83">
        <v>0.31744158395133371</v>
      </c>
      <c r="J35" s="80" t="s">
        <v>274</v>
      </c>
      <c r="K35" s="510"/>
      <c r="L35" s="57">
        <v>0.05</v>
      </c>
      <c r="M35" s="80" t="s">
        <v>276</v>
      </c>
      <c r="N35" s="526"/>
      <c r="O35" s="35" t="s">
        <v>1944</v>
      </c>
      <c r="P35" s="236" t="s">
        <v>277</v>
      </c>
      <c r="Q35" s="87"/>
      <c r="S35" s="32" t="s">
        <v>1940</v>
      </c>
      <c r="T35" s="44" t="s">
        <v>1673</v>
      </c>
      <c r="U35" s="45" t="s">
        <v>257</v>
      </c>
      <c r="V35" s="44" t="s">
        <v>1673</v>
      </c>
      <c r="W35" s="44" t="s">
        <v>1673</v>
      </c>
      <c r="X35" s="515"/>
      <c r="Y35" s="153" t="s">
        <v>274</v>
      </c>
      <c r="Z35" s="154">
        <v>15000</v>
      </c>
      <c r="AA35" s="508"/>
      <c r="AB35" s="490"/>
      <c r="AC35" s="69"/>
    </row>
    <row r="36" spans="2:29" ht="12.75">
      <c r="B36" s="44" t="s">
        <v>1940</v>
      </c>
      <c r="C36" s="44" t="s">
        <v>1673</v>
      </c>
      <c r="D36" s="45" t="s">
        <v>257</v>
      </c>
      <c r="E36" s="44" t="s">
        <v>1673</v>
      </c>
      <c r="F36" s="44" t="s">
        <v>1673</v>
      </c>
      <c r="G36" s="46" t="s">
        <v>1953</v>
      </c>
      <c r="H36" s="44">
        <v>1.1200000000000001</v>
      </c>
      <c r="I36" s="83">
        <v>0.31744158395133371</v>
      </c>
      <c r="J36" s="80" t="s">
        <v>276</v>
      </c>
      <c r="K36" s="510"/>
      <c r="L36" s="57">
        <v>0.05</v>
      </c>
      <c r="M36" s="80" t="s">
        <v>276</v>
      </c>
      <c r="N36" s="526"/>
      <c r="O36" s="35" t="s">
        <v>1945</v>
      </c>
      <c r="P36" s="237" t="s">
        <v>256</v>
      </c>
      <c r="Q36" s="87"/>
      <c r="S36" s="32" t="s">
        <v>1940</v>
      </c>
      <c r="T36" s="44" t="s">
        <v>1673</v>
      </c>
      <c r="U36" s="45" t="s">
        <v>257</v>
      </c>
      <c r="V36" s="44" t="s">
        <v>1673</v>
      </c>
      <c r="W36" s="44" t="s">
        <v>1673</v>
      </c>
      <c r="X36" s="515"/>
      <c r="Y36" s="149" t="s">
        <v>276</v>
      </c>
      <c r="Z36" s="150">
        <v>15000</v>
      </c>
      <c r="AA36" s="141" t="s">
        <v>1946</v>
      </c>
      <c r="AB36" s="239" t="s">
        <v>256</v>
      </c>
      <c r="AC36" s="69"/>
    </row>
    <row r="37" spans="2:29" ht="12.75">
      <c r="B37" s="41" t="s">
        <v>1940</v>
      </c>
      <c r="C37" s="41" t="s">
        <v>1674</v>
      </c>
      <c r="D37" s="42" t="s">
        <v>255</v>
      </c>
      <c r="E37" s="41" t="s">
        <v>256</v>
      </c>
      <c r="F37" s="41" t="s">
        <v>1674</v>
      </c>
      <c r="G37" s="43" t="s">
        <v>1954</v>
      </c>
      <c r="H37" s="41">
        <v>0.59</v>
      </c>
      <c r="I37" s="83">
        <v>1.4653768962291391</v>
      </c>
      <c r="J37" s="65" t="s">
        <v>274</v>
      </c>
      <c r="K37" s="527">
        <v>1.2077407737518886</v>
      </c>
      <c r="L37" s="57">
        <v>5.1999999999999998E-2</v>
      </c>
      <c r="M37" s="65" t="s">
        <v>274</v>
      </c>
      <c r="N37" s="525" t="s">
        <v>1942</v>
      </c>
      <c r="O37" s="32" t="s">
        <v>1523</v>
      </c>
      <c r="P37" s="235" t="s">
        <v>275</v>
      </c>
      <c r="Q37" s="86"/>
      <c r="S37" s="32" t="s">
        <v>1940</v>
      </c>
      <c r="T37" s="41" t="s">
        <v>1674</v>
      </c>
      <c r="U37" s="42" t="s">
        <v>255</v>
      </c>
      <c r="V37" s="41" t="s">
        <v>256</v>
      </c>
      <c r="W37" s="41" t="s">
        <v>1674</v>
      </c>
      <c r="X37" s="516">
        <v>24500</v>
      </c>
      <c r="Y37" s="132" t="s">
        <v>274</v>
      </c>
      <c r="Z37" s="133">
        <v>18375</v>
      </c>
      <c r="AA37" s="142" t="s">
        <v>1943</v>
      </c>
      <c r="AB37" s="238" t="s">
        <v>275</v>
      </c>
      <c r="AC37" s="69"/>
    </row>
    <row r="38" spans="2:29" ht="12.75">
      <c r="B38" s="41" t="s">
        <v>1940</v>
      </c>
      <c r="C38" s="41" t="s">
        <v>1674</v>
      </c>
      <c r="D38" s="42" t="s">
        <v>255</v>
      </c>
      <c r="E38" s="41" t="s">
        <v>256</v>
      </c>
      <c r="F38" s="41" t="s">
        <v>1674</v>
      </c>
      <c r="G38" s="43" t="s">
        <v>1954</v>
      </c>
      <c r="H38" s="41">
        <v>0.59</v>
      </c>
      <c r="I38" s="83">
        <v>1.4653768962291391</v>
      </c>
      <c r="J38" s="65" t="s">
        <v>276</v>
      </c>
      <c r="K38" s="527"/>
      <c r="L38" s="57">
        <v>5.1999999999999998E-2</v>
      </c>
      <c r="M38" s="65" t="s">
        <v>274</v>
      </c>
      <c r="N38" s="525"/>
      <c r="O38" s="32" t="s">
        <v>1944</v>
      </c>
      <c r="P38" s="236" t="s">
        <v>277</v>
      </c>
      <c r="Q38" s="87"/>
      <c r="S38" s="32" t="s">
        <v>1940</v>
      </c>
      <c r="T38" s="41" t="s">
        <v>1674</v>
      </c>
      <c r="U38" s="42" t="s">
        <v>255</v>
      </c>
      <c r="V38" s="41" t="s">
        <v>256</v>
      </c>
      <c r="W38" s="41" t="s">
        <v>1674</v>
      </c>
      <c r="X38" s="516"/>
      <c r="Y38" s="134" t="s">
        <v>276</v>
      </c>
      <c r="Z38" s="135">
        <v>18375</v>
      </c>
      <c r="AA38" s="507" t="s">
        <v>1944</v>
      </c>
      <c r="AB38" s="490" t="s">
        <v>277</v>
      </c>
      <c r="AC38" s="69"/>
    </row>
    <row r="39" spans="2:29" ht="12.75">
      <c r="B39" s="41" t="s">
        <v>1940</v>
      </c>
      <c r="C39" s="41" t="s">
        <v>1674</v>
      </c>
      <c r="D39" s="42" t="s">
        <v>255</v>
      </c>
      <c r="E39" s="41" t="s">
        <v>256</v>
      </c>
      <c r="F39" s="41" t="s">
        <v>1674</v>
      </c>
      <c r="G39" s="43" t="s">
        <v>1954</v>
      </c>
      <c r="H39" s="41">
        <v>0.59</v>
      </c>
      <c r="I39" s="83">
        <v>1.4653768962291391</v>
      </c>
      <c r="J39" s="65" t="s">
        <v>274</v>
      </c>
      <c r="K39" s="527"/>
      <c r="L39" s="57">
        <v>5.1999999999999998E-2</v>
      </c>
      <c r="M39" s="65" t="s">
        <v>276</v>
      </c>
      <c r="N39" s="525"/>
      <c r="O39" s="32" t="s">
        <v>1944</v>
      </c>
      <c r="P39" s="236" t="s">
        <v>277</v>
      </c>
      <c r="Q39" s="87"/>
      <c r="S39" s="32" t="s">
        <v>1940</v>
      </c>
      <c r="T39" s="41" t="s">
        <v>1674</v>
      </c>
      <c r="U39" s="42" t="s">
        <v>255</v>
      </c>
      <c r="V39" s="41" t="s">
        <v>256</v>
      </c>
      <c r="W39" s="41" t="s">
        <v>1674</v>
      </c>
      <c r="X39" s="516"/>
      <c r="Y39" s="136" t="s">
        <v>274</v>
      </c>
      <c r="Z39" s="137">
        <v>30625</v>
      </c>
      <c r="AA39" s="507"/>
      <c r="AB39" s="490"/>
      <c r="AC39" s="69"/>
    </row>
    <row r="40" spans="2:29" ht="12.75">
      <c r="B40" s="41" t="s">
        <v>1940</v>
      </c>
      <c r="C40" s="41" t="s">
        <v>1674</v>
      </c>
      <c r="D40" s="42" t="s">
        <v>255</v>
      </c>
      <c r="E40" s="41" t="s">
        <v>256</v>
      </c>
      <c r="F40" s="41" t="s">
        <v>1674</v>
      </c>
      <c r="G40" s="43" t="s">
        <v>1954</v>
      </c>
      <c r="H40" s="41">
        <v>0.59</v>
      </c>
      <c r="I40" s="83">
        <v>1.4653768962291391</v>
      </c>
      <c r="J40" s="65" t="s">
        <v>276</v>
      </c>
      <c r="K40" s="527"/>
      <c r="L40" s="57">
        <v>5.1999999999999998E-2</v>
      </c>
      <c r="M40" s="65" t="s">
        <v>276</v>
      </c>
      <c r="N40" s="525"/>
      <c r="O40" s="32" t="s">
        <v>1945</v>
      </c>
      <c r="P40" s="237" t="s">
        <v>256</v>
      </c>
      <c r="Q40" s="87"/>
      <c r="S40" s="32" t="s">
        <v>1940</v>
      </c>
      <c r="T40" s="41" t="s">
        <v>1674</v>
      </c>
      <c r="U40" s="42" t="s">
        <v>255</v>
      </c>
      <c r="V40" s="41" t="s">
        <v>256</v>
      </c>
      <c r="W40" s="41" t="s">
        <v>1674</v>
      </c>
      <c r="X40" s="516"/>
      <c r="Y40" s="132" t="s">
        <v>276</v>
      </c>
      <c r="Z40" s="133">
        <v>30625</v>
      </c>
      <c r="AA40" s="142" t="s">
        <v>1946</v>
      </c>
      <c r="AB40" s="239" t="s">
        <v>256</v>
      </c>
      <c r="AC40" s="69"/>
    </row>
    <row r="41" spans="2:29" ht="12.75">
      <c r="B41" s="44" t="s">
        <v>1940</v>
      </c>
      <c r="C41" s="44" t="s">
        <v>1674</v>
      </c>
      <c r="D41" s="45" t="s">
        <v>255</v>
      </c>
      <c r="E41" s="44" t="s">
        <v>256</v>
      </c>
      <c r="F41" s="44" t="s">
        <v>1673</v>
      </c>
      <c r="G41" s="46" t="s">
        <v>1955</v>
      </c>
      <c r="H41" s="44">
        <v>0.59</v>
      </c>
      <c r="I41" s="83">
        <v>0.85618567207899676</v>
      </c>
      <c r="J41" s="80" t="s">
        <v>274</v>
      </c>
      <c r="K41" s="510">
        <v>1.2077407737518886</v>
      </c>
      <c r="L41" s="57">
        <v>5.1999999999999998E-2</v>
      </c>
      <c r="M41" s="80" t="s">
        <v>274</v>
      </c>
      <c r="N41" s="526" t="s">
        <v>1942</v>
      </c>
      <c r="O41" s="35" t="s">
        <v>1523</v>
      </c>
      <c r="P41" s="235" t="s">
        <v>275</v>
      </c>
      <c r="Q41" s="86"/>
      <c r="S41" s="32" t="s">
        <v>1940</v>
      </c>
      <c r="T41" s="44" t="s">
        <v>1674</v>
      </c>
      <c r="U41" s="45" t="s">
        <v>255</v>
      </c>
      <c r="V41" s="44" t="s">
        <v>256</v>
      </c>
      <c r="W41" s="44" t="s">
        <v>1673</v>
      </c>
      <c r="X41" s="515">
        <v>27000</v>
      </c>
      <c r="Y41" s="149" t="s">
        <v>274</v>
      </c>
      <c r="Z41" s="150">
        <v>20250</v>
      </c>
      <c r="AA41" s="141" t="s">
        <v>1943</v>
      </c>
      <c r="AB41" s="238" t="s">
        <v>275</v>
      </c>
      <c r="AC41" s="69"/>
    </row>
    <row r="42" spans="2:29" ht="12.75">
      <c r="B42" s="44" t="s">
        <v>1940</v>
      </c>
      <c r="C42" s="44" t="s">
        <v>1674</v>
      </c>
      <c r="D42" s="45" t="s">
        <v>255</v>
      </c>
      <c r="E42" s="44" t="s">
        <v>256</v>
      </c>
      <c r="F42" s="44" t="s">
        <v>1673</v>
      </c>
      <c r="G42" s="46" t="s">
        <v>1955</v>
      </c>
      <c r="H42" s="44">
        <v>0.59</v>
      </c>
      <c r="I42" s="83">
        <v>0.85618567207899676</v>
      </c>
      <c r="J42" s="80" t="s">
        <v>276</v>
      </c>
      <c r="K42" s="510"/>
      <c r="L42" s="57">
        <v>5.1999999999999998E-2</v>
      </c>
      <c r="M42" s="80" t="s">
        <v>274</v>
      </c>
      <c r="N42" s="526"/>
      <c r="O42" s="35" t="s">
        <v>1944</v>
      </c>
      <c r="P42" s="236" t="s">
        <v>277</v>
      </c>
      <c r="Q42" s="87"/>
      <c r="S42" s="32" t="s">
        <v>1940</v>
      </c>
      <c r="T42" s="44" t="s">
        <v>1674</v>
      </c>
      <c r="U42" s="45" t="s">
        <v>255</v>
      </c>
      <c r="V42" s="44" t="s">
        <v>256</v>
      </c>
      <c r="W42" s="44" t="s">
        <v>1673</v>
      </c>
      <c r="X42" s="515"/>
      <c r="Y42" s="151" t="s">
        <v>276</v>
      </c>
      <c r="Z42" s="152">
        <v>20250</v>
      </c>
      <c r="AA42" s="508" t="s">
        <v>1944</v>
      </c>
      <c r="AB42" s="490" t="s">
        <v>277</v>
      </c>
      <c r="AC42" s="69"/>
    </row>
    <row r="43" spans="2:29" ht="12.75">
      <c r="B43" s="44" t="s">
        <v>1940</v>
      </c>
      <c r="C43" s="44" t="s">
        <v>1674</v>
      </c>
      <c r="D43" s="45" t="s">
        <v>255</v>
      </c>
      <c r="E43" s="44" t="s">
        <v>256</v>
      </c>
      <c r="F43" s="44" t="s">
        <v>1673</v>
      </c>
      <c r="G43" s="46" t="s">
        <v>1955</v>
      </c>
      <c r="H43" s="44">
        <v>0.59</v>
      </c>
      <c r="I43" s="83">
        <v>0.85618567207899676</v>
      </c>
      <c r="J43" s="80" t="s">
        <v>274</v>
      </c>
      <c r="K43" s="510"/>
      <c r="L43" s="57">
        <v>5.1999999999999998E-2</v>
      </c>
      <c r="M43" s="80" t="s">
        <v>276</v>
      </c>
      <c r="N43" s="526"/>
      <c r="O43" s="35" t="s">
        <v>1944</v>
      </c>
      <c r="P43" s="236" t="s">
        <v>277</v>
      </c>
      <c r="Q43" s="87"/>
      <c r="S43" s="32" t="s">
        <v>1940</v>
      </c>
      <c r="T43" s="44" t="s">
        <v>1674</v>
      </c>
      <c r="U43" s="45" t="s">
        <v>255</v>
      </c>
      <c r="V43" s="44" t="s">
        <v>256</v>
      </c>
      <c r="W43" s="44" t="s">
        <v>1673</v>
      </c>
      <c r="X43" s="515"/>
      <c r="Y43" s="153" t="s">
        <v>274</v>
      </c>
      <c r="Z43" s="154">
        <v>33750</v>
      </c>
      <c r="AA43" s="508"/>
      <c r="AB43" s="490"/>
      <c r="AC43" s="69"/>
    </row>
    <row r="44" spans="2:29" ht="12.75">
      <c r="B44" s="44" t="s">
        <v>1940</v>
      </c>
      <c r="C44" s="44" t="s">
        <v>1674</v>
      </c>
      <c r="D44" s="45" t="s">
        <v>255</v>
      </c>
      <c r="E44" s="44" t="s">
        <v>256</v>
      </c>
      <c r="F44" s="44" t="s">
        <v>1673</v>
      </c>
      <c r="G44" s="46" t="s">
        <v>1955</v>
      </c>
      <c r="H44" s="44">
        <v>0.59</v>
      </c>
      <c r="I44" s="83">
        <v>0.85618567207899676</v>
      </c>
      <c r="J44" s="80" t="s">
        <v>276</v>
      </c>
      <c r="K44" s="510"/>
      <c r="L44" s="57">
        <v>5.1999999999999998E-2</v>
      </c>
      <c r="M44" s="80" t="s">
        <v>276</v>
      </c>
      <c r="N44" s="526"/>
      <c r="O44" s="35" t="s">
        <v>1945</v>
      </c>
      <c r="P44" s="237" t="s">
        <v>256</v>
      </c>
      <c r="Q44" s="87"/>
      <c r="S44" s="32" t="s">
        <v>1940</v>
      </c>
      <c r="T44" s="44" t="s">
        <v>1674</v>
      </c>
      <c r="U44" s="45" t="s">
        <v>255</v>
      </c>
      <c r="V44" s="44" t="s">
        <v>256</v>
      </c>
      <c r="W44" s="44" t="s">
        <v>1673</v>
      </c>
      <c r="X44" s="515"/>
      <c r="Y44" s="149" t="s">
        <v>276</v>
      </c>
      <c r="Z44" s="150">
        <v>33750</v>
      </c>
      <c r="AA44" s="141" t="s">
        <v>1946</v>
      </c>
      <c r="AB44" s="239" t="s">
        <v>256</v>
      </c>
      <c r="AC44" s="69"/>
    </row>
    <row r="45" spans="2:29" ht="12.75">
      <c r="B45" s="41" t="s">
        <v>1940</v>
      </c>
      <c r="C45" s="41" t="s">
        <v>1674</v>
      </c>
      <c r="D45" s="42" t="s">
        <v>257</v>
      </c>
      <c r="E45" s="41" t="s">
        <v>256</v>
      </c>
      <c r="F45" s="41" t="s">
        <v>1674</v>
      </c>
      <c r="G45" s="43" t="s">
        <v>1956</v>
      </c>
      <c r="H45" s="41">
        <v>0.59</v>
      </c>
      <c r="I45" s="83">
        <v>0.69878147685182834</v>
      </c>
      <c r="J45" s="65" t="s">
        <v>274</v>
      </c>
      <c r="K45" s="527">
        <v>1.2077407737518886</v>
      </c>
      <c r="L45" s="57">
        <v>4.4999999999999998E-2</v>
      </c>
      <c r="M45" s="65" t="s">
        <v>274</v>
      </c>
      <c r="N45" s="525" t="s">
        <v>1942</v>
      </c>
      <c r="O45" s="32" t="s">
        <v>1523</v>
      </c>
      <c r="P45" s="235" t="s">
        <v>275</v>
      </c>
      <c r="Q45" s="86"/>
      <c r="S45" s="32" t="s">
        <v>1940</v>
      </c>
      <c r="T45" s="41" t="s">
        <v>1674</v>
      </c>
      <c r="U45" s="42" t="s">
        <v>257</v>
      </c>
      <c r="V45" s="41" t="s">
        <v>256</v>
      </c>
      <c r="W45" s="41" t="s">
        <v>1674</v>
      </c>
      <c r="X45" s="516">
        <v>16500</v>
      </c>
      <c r="Y45" s="132" t="s">
        <v>274</v>
      </c>
      <c r="Z45" s="133">
        <v>12375</v>
      </c>
      <c r="AA45" s="142" t="s">
        <v>1943</v>
      </c>
      <c r="AB45" s="238" t="s">
        <v>275</v>
      </c>
      <c r="AC45" s="69"/>
    </row>
    <row r="46" spans="2:29" ht="12.75">
      <c r="B46" s="41" t="s">
        <v>1940</v>
      </c>
      <c r="C46" s="41" t="s">
        <v>1674</v>
      </c>
      <c r="D46" s="42" t="s">
        <v>257</v>
      </c>
      <c r="E46" s="41" t="s">
        <v>256</v>
      </c>
      <c r="F46" s="41" t="s">
        <v>1674</v>
      </c>
      <c r="G46" s="43" t="s">
        <v>1956</v>
      </c>
      <c r="H46" s="41">
        <v>0.59</v>
      </c>
      <c r="I46" s="83">
        <v>0.69878147685182834</v>
      </c>
      <c r="J46" s="65" t="s">
        <v>276</v>
      </c>
      <c r="K46" s="527"/>
      <c r="L46" s="57">
        <v>4.4999999999999998E-2</v>
      </c>
      <c r="M46" s="65" t="s">
        <v>274</v>
      </c>
      <c r="N46" s="525"/>
      <c r="O46" s="32" t="s">
        <v>1944</v>
      </c>
      <c r="P46" s="236" t="s">
        <v>277</v>
      </c>
      <c r="Q46" s="87"/>
      <c r="S46" s="32" t="s">
        <v>1940</v>
      </c>
      <c r="T46" s="41" t="s">
        <v>1674</v>
      </c>
      <c r="U46" s="42" t="s">
        <v>257</v>
      </c>
      <c r="V46" s="41" t="s">
        <v>256</v>
      </c>
      <c r="W46" s="41" t="s">
        <v>1674</v>
      </c>
      <c r="X46" s="516"/>
      <c r="Y46" s="134" t="s">
        <v>276</v>
      </c>
      <c r="Z46" s="135">
        <v>12375</v>
      </c>
      <c r="AA46" s="507" t="s">
        <v>1944</v>
      </c>
      <c r="AB46" s="490" t="s">
        <v>277</v>
      </c>
      <c r="AC46" s="69"/>
    </row>
    <row r="47" spans="2:29" ht="12.75">
      <c r="B47" s="41" t="s">
        <v>1940</v>
      </c>
      <c r="C47" s="41" t="s">
        <v>1674</v>
      </c>
      <c r="D47" s="42" t="s">
        <v>257</v>
      </c>
      <c r="E47" s="41" t="s">
        <v>256</v>
      </c>
      <c r="F47" s="41" t="s">
        <v>1674</v>
      </c>
      <c r="G47" s="43" t="s">
        <v>1956</v>
      </c>
      <c r="H47" s="41">
        <v>0.59</v>
      </c>
      <c r="I47" s="83">
        <v>0.69878147685182834</v>
      </c>
      <c r="J47" s="65" t="s">
        <v>274</v>
      </c>
      <c r="K47" s="527"/>
      <c r="L47" s="57">
        <v>4.4999999999999998E-2</v>
      </c>
      <c r="M47" s="65" t="s">
        <v>276</v>
      </c>
      <c r="N47" s="525"/>
      <c r="O47" s="32" t="s">
        <v>1944</v>
      </c>
      <c r="P47" s="236" t="s">
        <v>277</v>
      </c>
      <c r="Q47" s="87"/>
      <c r="S47" s="32" t="s">
        <v>1940</v>
      </c>
      <c r="T47" s="41" t="s">
        <v>1674</v>
      </c>
      <c r="U47" s="42" t="s">
        <v>257</v>
      </c>
      <c r="V47" s="41" t="s">
        <v>256</v>
      </c>
      <c r="W47" s="41" t="s">
        <v>1674</v>
      </c>
      <c r="X47" s="516"/>
      <c r="Y47" s="136" t="s">
        <v>274</v>
      </c>
      <c r="Z47" s="137">
        <v>20625</v>
      </c>
      <c r="AA47" s="507"/>
      <c r="AB47" s="490"/>
      <c r="AC47" s="69"/>
    </row>
    <row r="48" spans="2:29" ht="12.75">
      <c r="B48" s="41" t="s">
        <v>1940</v>
      </c>
      <c r="C48" s="41" t="s">
        <v>1674</v>
      </c>
      <c r="D48" s="42" t="s">
        <v>257</v>
      </c>
      <c r="E48" s="41" t="s">
        <v>256</v>
      </c>
      <c r="F48" s="41" t="s">
        <v>1674</v>
      </c>
      <c r="G48" s="43" t="s">
        <v>1956</v>
      </c>
      <c r="H48" s="41">
        <v>0.59</v>
      </c>
      <c r="I48" s="83">
        <v>0.69878147685182834</v>
      </c>
      <c r="J48" s="65" t="s">
        <v>276</v>
      </c>
      <c r="K48" s="527"/>
      <c r="L48" s="57">
        <v>4.4999999999999998E-2</v>
      </c>
      <c r="M48" s="65" t="s">
        <v>276</v>
      </c>
      <c r="N48" s="525"/>
      <c r="O48" s="32" t="s">
        <v>1945</v>
      </c>
      <c r="P48" s="237" t="s">
        <v>256</v>
      </c>
      <c r="Q48" s="87"/>
      <c r="S48" s="32" t="s">
        <v>1940</v>
      </c>
      <c r="T48" s="41" t="s">
        <v>1674</v>
      </c>
      <c r="U48" s="42" t="s">
        <v>257</v>
      </c>
      <c r="V48" s="41" t="s">
        <v>256</v>
      </c>
      <c r="W48" s="41" t="s">
        <v>1674</v>
      </c>
      <c r="X48" s="516"/>
      <c r="Y48" s="132" t="s">
        <v>276</v>
      </c>
      <c r="Z48" s="133">
        <v>20625</v>
      </c>
      <c r="AA48" s="142" t="s">
        <v>1946</v>
      </c>
      <c r="AB48" s="239" t="s">
        <v>256</v>
      </c>
      <c r="AC48" s="69"/>
    </row>
    <row r="49" spans="2:29" ht="12.75">
      <c r="B49" s="47" t="s">
        <v>1940</v>
      </c>
      <c r="C49" s="47" t="s">
        <v>1674</v>
      </c>
      <c r="D49" s="48" t="s">
        <v>257</v>
      </c>
      <c r="E49" s="47" t="s">
        <v>256</v>
      </c>
      <c r="F49" s="47" t="s">
        <v>1673</v>
      </c>
      <c r="G49" s="49" t="s">
        <v>1957</v>
      </c>
      <c r="H49" s="47">
        <v>0.59</v>
      </c>
      <c r="I49" s="83">
        <v>0.40506133621031354</v>
      </c>
      <c r="J49" s="80" t="s">
        <v>274</v>
      </c>
      <c r="K49" s="510">
        <v>1.2077407737518886</v>
      </c>
      <c r="L49" s="57">
        <v>4.4999999999999998E-2</v>
      </c>
      <c r="M49" s="80" t="s">
        <v>274</v>
      </c>
      <c r="N49" s="526" t="s">
        <v>1942</v>
      </c>
      <c r="O49" s="35" t="s">
        <v>1523</v>
      </c>
      <c r="P49" s="235" t="s">
        <v>275</v>
      </c>
      <c r="Q49" s="86"/>
      <c r="S49" s="32" t="s">
        <v>1940</v>
      </c>
      <c r="T49" s="44" t="s">
        <v>1674</v>
      </c>
      <c r="U49" s="45" t="s">
        <v>257</v>
      </c>
      <c r="V49" s="44" t="s">
        <v>256</v>
      </c>
      <c r="W49" s="44" t="s">
        <v>1673</v>
      </c>
      <c r="X49" s="515">
        <v>18000</v>
      </c>
      <c r="Y49" s="149" t="s">
        <v>274</v>
      </c>
      <c r="Z49" s="150">
        <v>13500</v>
      </c>
      <c r="AA49" s="141" t="s">
        <v>1943</v>
      </c>
      <c r="AB49" s="238" t="s">
        <v>275</v>
      </c>
      <c r="AC49" s="69"/>
    </row>
    <row r="50" spans="2:29" ht="12.75">
      <c r="B50" s="47" t="s">
        <v>1940</v>
      </c>
      <c r="C50" s="47" t="s">
        <v>1674</v>
      </c>
      <c r="D50" s="48" t="s">
        <v>257</v>
      </c>
      <c r="E50" s="47" t="s">
        <v>256</v>
      </c>
      <c r="F50" s="47" t="s">
        <v>1673</v>
      </c>
      <c r="G50" s="49">
        <v>1.25E-3</v>
      </c>
      <c r="H50" s="47">
        <v>0.59</v>
      </c>
      <c r="I50" s="83">
        <v>0.40506133621031354</v>
      </c>
      <c r="J50" s="80" t="s">
        <v>276</v>
      </c>
      <c r="K50" s="510"/>
      <c r="L50" s="57">
        <v>4.4999999999999998E-2</v>
      </c>
      <c r="M50" s="80" t="s">
        <v>274</v>
      </c>
      <c r="N50" s="526"/>
      <c r="O50" s="35" t="s">
        <v>1944</v>
      </c>
      <c r="P50" s="236" t="s">
        <v>277</v>
      </c>
      <c r="Q50" s="87"/>
      <c r="S50" s="32" t="s">
        <v>1940</v>
      </c>
      <c r="T50" s="44" t="s">
        <v>1674</v>
      </c>
      <c r="U50" s="45" t="s">
        <v>257</v>
      </c>
      <c r="V50" s="44" t="s">
        <v>256</v>
      </c>
      <c r="W50" s="44" t="s">
        <v>1673</v>
      </c>
      <c r="X50" s="515"/>
      <c r="Y50" s="151" t="s">
        <v>276</v>
      </c>
      <c r="Z50" s="152">
        <v>13500</v>
      </c>
      <c r="AA50" s="508" t="s">
        <v>1944</v>
      </c>
      <c r="AB50" s="490" t="s">
        <v>277</v>
      </c>
      <c r="AC50" s="69"/>
    </row>
    <row r="51" spans="2:29" ht="12.75">
      <c r="B51" s="47" t="s">
        <v>1940</v>
      </c>
      <c r="C51" s="47" t="s">
        <v>1674</v>
      </c>
      <c r="D51" s="48" t="s">
        <v>257</v>
      </c>
      <c r="E51" s="47" t="s">
        <v>256</v>
      </c>
      <c r="F51" s="47" t="s">
        <v>1673</v>
      </c>
      <c r="G51" s="49">
        <v>1.25E-3</v>
      </c>
      <c r="H51" s="47">
        <v>0.59</v>
      </c>
      <c r="I51" s="83">
        <v>0.40506133621031354</v>
      </c>
      <c r="J51" s="80" t="s">
        <v>274</v>
      </c>
      <c r="K51" s="510"/>
      <c r="L51" s="57">
        <v>4.4999999999999998E-2</v>
      </c>
      <c r="M51" s="80" t="s">
        <v>276</v>
      </c>
      <c r="N51" s="526"/>
      <c r="O51" s="35" t="s">
        <v>1944</v>
      </c>
      <c r="P51" s="236" t="s">
        <v>277</v>
      </c>
      <c r="Q51" s="87"/>
      <c r="S51" s="32" t="s">
        <v>1940</v>
      </c>
      <c r="T51" s="44" t="s">
        <v>1674</v>
      </c>
      <c r="U51" s="45" t="s">
        <v>257</v>
      </c>
      <c r="V51" s="44" t="s">
        <v>256</v>
      </c>
      <c r="W51" s="44" t="s">
        <v>1673</v>
      </c>
      <c r="X51" s="515"/>
      <c r="Y51" s="153" t="s">
        <v>274</v>
      </c>
      <c r="Z51" s="154">
        <v>22500</v>
      </c>
      <c r="AA51" s="508"/>
      <c r="AB51" s="490"/>
      <c r="AC51" s="69"/>
    </row>
    <row r="52" spans="2:29" ht="12.75">
      <c r="B52" s="47" t="s">
        <v>1940</v>
      </c>
      <c r="C52" s="47" t="s">
        <v>1674</v>
      </c>
      <c r="D52" s="48" t="s">
        <v>257</v>
      </c>
      <c r="E52" s="47" t="s">
        <v>256</v>
      </c>
      <c r="F52" s="47" t="s">
        <v>1673</v>
      </c>
      <c r="G52" s="49">
        <v>1.25E-3</v>
      </c>
      <c r="H52" s="47">
        <v>0.59</v>
      </c>
      <c r="I52" s="83">
        <v>0.40506133621031354</v>
      </c>
      <c r="J52" s="80" t="s">
        <v>276</v>
      </c>
      <c r="K52" s="510"/>
      <c r="L52" s="57">
        <v>4.4999999999999998E-2</v>
      </c>
      <c r="M52" s="80" t="s">
        <v>276</v>
      </c>
      <c r="N52" s="526"/>
      <c r="O52" s="35" t="s">
        <v>1945</v>
      </c>
      <c r="P52" s="237" t="s">
        <v>256</v>
      </c>
      <c r="Q52" s="87"/>
      <c r="S52" s="32" t="s">
        <v>1940</v>
      </c>
      <c r="T52" s="44" t="s">
        <v>1674</v>
      </c>
      <c r="U52" s="45" t="s">
        <v>257</v>
      </c>
      <c r="V52" s="44" t="s">
        <v>256</v>
      </c>
      <c r="W52" s="44" t="s">
        <v>1673</v>
      </c>
      <c r="X52" s="515"/>
      <c r="Y52" s="149" t="s">
        <v>276</v>
      </c>
      <c r="Z52" s="150">
        <v>22500</v>
      </c>
      <c r="AA52" s="141" t="s">
        <v>1946</v>
      </c>
      <c r="AB52" s="239" t="s">
        <v>256</v>
      </c>
      <c r="AC52" s="69"/>
    </row>
    <row r="53" spans="2:29" ht="12.75">
      <c r="B53" s="32" t="s">
        <v>1958</v>
      </c>
      <c r="C53" s="32" t="s">
        <v>1673</v>
      </c>
      <c r="D53" s="33" t="s">
        <v>255</v>
      </c>
      <c r="E53" s="32" t="s">
        <v>1674</v>
      </c>
      <c r="F53" s="32" t="s">
        <v>1674</v>
      </c>
      <c r="G53" s="34">
        <v>1.25E-3</v>
      </c>
      <c r="H53" s="32">
        <v>0.63</v>
      </c>
      <c r="I53" s="83">
        <v>1.2391137382086737</v>
      </c>
      <c r="J53" s="65" t="s">
        <v>274</v>
      </c>
      <c r="K53" s="527">
        <v>1.0193449865833717</v>
      </c>
      <c r="L53" s="57">
        <v>1.6E-2</v>
      </c>
      <c r="M53" s="65" t="s">
        <v>274</v>
      </c>
      <c r="N53" s="525" t="s">
        <v>1959</v>
      </c>
      <c r="O53" s="32" t="s">
        <v>1523</v>
      </c>
      <c r="P53" s="235" t="s">
        <v>275</v>
      </c>
      <c r="Q53" s="86"/>
      <c r="S53" s="32" t="s">
        <v>1958</v>
      </c>
      <c r="T53" s="32" t="s">
        <v>1673</v>
      </c>
      <c r="U53" s="33" t="s">
        <v>255</v>
      </c>
      <c r="V53" s="32" t="s">
        <v>1674</v>
      </c>
      <c r="W53" s="32" t="s">
        <v>1674</v>
      </c>
      <c r="X53" s="516">
        <v>57000</v>
      </c>
      <c r="Y53" s="132" t="s">
        <v>274</v>
      </c>
      <c r="Z53" s="133">
        <v>42750</v>
      </c>
      <c r="AA53" s="142" t="s">
        <v>1943</v>
      </c>
      <c r="AB53" s="238" t="s">
        <v>275</v>
      </c>
      <c r="AC53" s="69"/>
    </row>
    <row r="54" spans="2:29" ht="12.75">
      <c r="B54" s="32" t="s">
        <v>1958</v>
      </c>
      <c r="C54" s="32" t="s">
        <v>1673</v>
      </c>
      <c r="D54" s="33" t="s">
        <v>255</v>
      </c>
      <c r="E54" s="32" t="s">
        <v>1674</v>
      </c>
      <c r="F54" s="32" t="s">
        <v>1674</v>
      </c>
      <c r="G54" s="34">
        <v>1.25E-3</v>
      </c>
      <c r="H54" s="32">
        <v>0.63</v>
      </c>
      <c r="I54" s="83">
        <v>1.2391137382086737</v>
      </c>
      <c r="J54" s="65" t="s">
        <v>276</v>
      </c>
      <c r="K54" s="527"/>
      <c r="L54" s="57">
        <v>1.6E-2</v>
      </c>
      <c r="M54" s="65" t="s">
        <v>274</v>
      </c>
      <c r="N54" s="525"/>
      <c r="O54" s="32" t="s">
        <v>1944</v>
      </c>
      <c r="P54" s="236" t="s">
        <v>277</v>
      </c>
      <c r="Q54" s="87"/>
      <c r="S54" s="32" t="s">
        <v>1958</v>
      </c>
      <c r="T54" s="32" t="s">
        <v>1673</v>
      </c>
      <c r="U54" s="33" t="s">
        <v>255</v>
      </c>
      <c r="V54" s="32" t="s">
        <v>1674</v>
      </c>
      <c r="W54" s="32" t="s">
        <v>1674</v>
      </c>
      <c r="X54" s="516"/>
      <c r="Y54" s="134" t="s">
        <v>276</v>
      </c>
      <c r="Z54" s="135">
        <v>42750</v>
      </c>
      <c r="AA54" s="507" t="s">
        <v>1944</v>
      </c>
      <c r="AB54" s="490" t="s">
        <v>277</v>
      </c>
      <c r="AC54" s="69"/>
    </row>
    <row r="55" spans="2:29" ht="12.75">
      <c r="B55" s="32" t="s">
        <v>1958</v>
      </c>
      <c r="C55" s="32" t="s">
        <v>1673</v>
      </c>
      <c r="D55" s="33" t="s">
        <v>255</v>
      </c>
      <c r="E55" s="32" t="s">
        <v>1674</v>
      </c>
      <c r="F55" s="32" t="s">
        <v>1674</v>
      </c>
      <c r="G55" s="34">
        <v>1.25E-3</v>
      </c>
      <c r="H55" s="32">
        <v>0.63</v>
      </c>
      <c r="I55" s="83">
        <v>1.2391137382086737</v>
      </c>
      <c r="J55" s="65" t="s">
        <v>274</v>
      </c>
      <c r="K55" s="527"/>
      <c r="L55" s="57">
        <v>1.6E-2</v>
      </c>
      <c r="M55" s="65" t="s">
        <v>276</v>
      </c>
      <c r="N55" s="525"/>
      <c r="O55" s="32" t="s">
        <v>1944</v>
      </c>
      <c r="P55" s="236" t="s">
        <v>277</v>
      </c>
      <c r="Q55" s="87"/>
      <c r="S55" s="32" t="s">
        <v>1958</v>
      </c>
      <c r="T55" s="32" t="s">
        <v>1673</v>
      </c>
      <c r="U55" s="33" t="s">
        <v>255</v>
      </c>
      <c r="V55" s="32" t="s">
        <v>1674</v>
      </c>
      <c r="W55" s="32" t="s">
        <v>1674</v>
      </c>
      <c r="X55" s="516"/>
      <c r="Y55" s="136" t="s">
        <v>274</v>
      </c>
      <c r="Z55" s="137">
        <v>71250</v>
      </c>
      <c r="AA55" s="507"/>
      <c r="AB55" s="490"/>
      <c r="AC55" s="69"/>
    </row>
    <row r="56" spans="2:29" ht="12.75">
      <c r="B56" s="32" t="s">
        <v>1958</v>
      </c>
      <c r="C56" s="32" t="s">
        <v>1673</v>
      </c>
      <c r="D56" s="33" t="s">
        <v>255</v>
      </c>
      <c r="E56" s="32" t="s">
        <v>1674</v>
      </c>
      <c r="F56" s="32" t="s">
        <v>1674</v>
      </c>
      <c r="G56" s="34">
        <v>1.25E-3</v>
      </c>
      <c r="H56" s="32">
        <v>0.63</v>
      </c>
      <c r="I56" s="83">
        <v>1.2391137382086737</v>
      </c>
      <c r="J56" s="65" t="s">
        <v>276</v>
      </c>
      <c r="K56" s="527"/>
      <c r="L56" s="57">
        <v>1.6E-2</v>
      </c>
      <c r="M56" s="65" t="s">
        <v>276</v>
      </c>
      <c r="N56" s="525"/>
      <c r="O56" s="32" t="s">
        <v>1945</v>
      </c>
      <c r="P56" s="237" t="s">
        <v>256</v>
      </c>
      <c r="Q56" s="87"/>
      <c r="S56" s="32" t="s">
        <v>1958</v>
      </c>
      <c r="T56" s="32" t="s">
        <v>1673</v>
      </c>
      <c r="U56" s="33" t="s">
        <v>255</v>
      </c>
      <c r="V56" s="32" t="s">
        <v>1674</v>
      </c>
      <c r="W56" s="32" t="s">
        <v>1674</v>
      </c>
      <c r="X56" s="516"/>
      <c r="Y56" s="132" t="s">
        <v>276</v>
      </c>
      <c r="Z56" s="133">
        <v>71250</v>
      </c>
      <c r="AA56" s="142" t="s">
        <v>1946</v>
      </c>
      <c r="AB56" s="239" t="s">
        <v>256</v>
      </c>
      <c r="AC56" s="69"/>
    </row>
    <row r="57" spans="2:29" ht="12.75">
      <c r="B57" s="35" t="s">
        <v>1958</v>
      </c>
      <c r="C57" s="35" t="s">
        <v>1673</v>
      </c>
      <c r="D57" s="36" t="s">
        <v>255</v>
      </c>
      <c r="E57" s="35" t="s">
        <v>1674</v>
      </c>
      <c r="F57" s="35" t="s">
        <v>1673</v>
      </c>
      <c r="G57" s="37" t="s">
        <v>1960</v>
      </c>
      <c r="H57" s="35">
        <v>0.63</v>
      </c>
      <c r="I57" s="83">
        <v>0.91991803924611937</v>
      </c>
      <c r="J57" s="80" t="s">
        <v>274</v>
      </c>
      <c r="K57" s="510">
        <v>1.0193449865833717</v>
      </c>
      <c r="L57" s="57">
        <v>1.6E-2</v>
      </c>
      <c r="M57" s="80" t="s">
        <v>274</v>
      </c>
      <c r="N57" s="526" t="s">
        <v>1959</v>
      </c>
      <c r="O57" s="35" t="s">
        <v>1523</v>
      </c>
      <c r="P57" s="235" t="s">
        <v>275</v>
      </c>
      <c r="Q57" s="86"/>
      <c r="S57" s="32" t="s">
        <v>1958</v>
      </c>
      <c r="T57" s="35" t="s">
        <v>1673</v>
      </c>
      <c r="U57" s="36" t="s">
        <v>255</v>
      </c>
      <c r="V57" s="35" t="s">
        <v>1674</v>
      </c>
      <c r="W57" s="35" t="s">
        <v>1673</v>
      </c>
      <c r="X57" s="515">
        <v>57000</v>
      </c>
      <c r="Y57" s="149" t="s">
        <v>274</v>
      </c>
      <c r="Z57" s="150">
        <v>42750</v>
      </c>
      <c r="AA57" s="141" t="s">
        <v>1943</v>
      </c>
      <c r="AB57" s="238" t="s">
        <v>275</v>
      </c>
      <c r="AC57" s="69"/>
    </row>
    <row r="58" spans="2:29" ht="12.75">
      <c r="B58" s="35" t="s">
        <v>1958</v>
      </c>
      <c r="C58" s="35" t="s">
        <v>1673</v>
      </c>
      <c r="D58" s="36" t="s">
        <v>255</v>
      </c>
      <c r="E58" s="35" t="s">
        <v>1674</v>
      </c>
      <c r="F58" s="35" t="s">
        <v>1673</v>
      </c>
      <c r="G58" s="37" t="s">
        <v>1960</v>
      </c>
      <c r="H58" s="35">
        <v>0.63</v>
      </c>
      <c r="I58" s="83">
        <v>0.91991803924611937</v>
      </c>
      <c r="J58" s="80" t="s">
        <v>276</v>
      </c>
      <c r="K58" s="510"/>
      <c r="L58" s="57">
        <v>1.6E-2</v>
      </c>
      <c r="M58" s="80" t="s">
        <v>274</v>
      </c>
      <c r="N58" s="526"/>
      <c r="O58" s="35" t="s">
        <v>1944</v>
      </c>
      <c r="P58" s="236" t="s">
        <v>277</v>
      </c>
      <c r="Q58" s="87"/>
      <c r="S58" s="32" t="s">
        <v>1958</v>
      </c>
      <c r="T58" s="35" t="s">
        <v>1673</v>
      </c>
      <c r="U58" s="36" t="s">
        <v>255</v>
      </c>
      <c r="V58" s="35" t="s">
        <v>1674</v>
      </c>
      <c r="W58" s="35" t="s">
        <v>1673</v>
      </c>
      <c r="X58" s="515"/>
      <c r="Y58" s="151" t="s">
        <v>276</v>
      </c>
      <c r="Z58" s="152">
        <v>42750</v>
      </c>
      <c r="AA58" s="508" t="s">
        <v>1944</v>
      </c>
      <c r="AB58" s="490" t="s">
        <v>277</v>
      </c>
      <c r="AC58" s="69"/>
    </row>
    <row r="59" spans="2:29" ht="12.75">
      <c r="B59" s="35" t="s">
        <v>1958</v>
      </c>
      <c r="C59" s="35" t="s">
        <v>1673</v>
      </c>
      <c r="D59" s="36" t="s">
        <v>255</v>
      </c>
      <c r="E59" s="35" t="s">
        <v>1674</v>
      </c>
      <c r="F59" s="35" t="s">
        <v>1673</v>
      </c>
      <c r="G59" s="37" t="s">
        <v>1960</v>
      </c>
      <c r="H59" s="35">
        <v>0.63</v>
      </c>
      <c r="I59" s="83">
        <v>0.91991803924611937</v>
      </c>
      <c r="J59" s="80" t="s">
        <v>274</v>
      </c>
      <c r="K59" s="510"/>
      <c r="L59" s="57">
        <v>1.6E-2</v>
      </c>
      <c r="M59" s="80" t="s">
        <v>276</v>
      </c>
      <c r="N59" s="526"/>
      <c r="O59" s="35" t="s">
        <v>1944</v>
      </c>
      <c r="P59" s="236" t="s">
        <v>277</v>
      </c>
      <c r="Q59" s="87"/>
      <c r="S59" s="32" t="s">
        <v>1958</v>
      </c>
      <c r="T59" s="35" t="s">
        <v>1673</v>
      </c>
      <c r="U59" s="36" t="s">
        <v>255</v>
      </c>
      <c r="V59" s="35" t="s">
        <v>1674</v>
      </c>
      <c r="W59" s="35" t="s">
        <v>1673</v>
      </c>
      <c r="X59" s="515"/>
      <c r="Y59" s="153" t="s">
        <v>274</v>
      </c>
      <c r="Z59" s="154">
        <v>71250</v>
      </c>
      <c r="AA59" s="508"/>
      <c r="AB59" s="490"/>
      <c r="AC59" s="69"/>
    </row>
    <row r="60" spans="2:29" ht="12.75">
      <c r="B60" s="35" t="s">
        <v>1958</v>
      </c>
      <c r="C60" s="35" t="s">
        <v>1673</v>
      </c>
      <c r="D60" s="36" t="s">
        <v>255</v>
      </c>
      <c r="E60" s="35" t="s">
        <v>1674</v>
      </c>
      <c r="F60" s="35" t="s">
        <v>1673</v>
      </c>
      <c r="G60" s="37" t="s">
        <v>1960</v>
      </c>
      <c r="H60" s="35">
        <v>0.63</v>
      </c>
      <c r="I60" s="83">
        <v>0.91991803924611937</v>
      </c>
      <c r="J60" s="80" t="s">
        <v>276</v>
      </c>
      <c r="K60" s="510"/>
      <c r="L60" s="57">
        <v>1.6E-2</v>
      </c>
      <c r="M60" s="80" t="s">
        <v>276</v>
      </c>
      <c r="N60" s="526"/>
      <c r="O60" s="35" t="s">
        <v>1945</v>
      </c>
      <c r="P60" s="237" t="s">
        <v>256</v>
      </c>
      <c r="Q60" s="87"/>
      <c r="S60" s="32" t="s">
        <v>1958</v>
      </c>
      <c r="T60" s="35" t="s">
        <v>1673</v>
      </c>
      <c r="U60" s="36" t="s">
        <v>255</v>
      </c>
      <c r="V60" s="35" t="s">
        <v>1674</v>
      </c>
      <c r="W60" s="35" t="s">
        <v>1673</v>
      </c>
      <c r="X60" s="515"/>
      <c r="Y60" s="149" t="s">
        <v>276</v>
      </c>
      <c r="Z60" s="150">
        <v>71250</v>
      </c>
      <c r="AA60" s="141" t="s">
        <v>1946</v>
      </c>
      <c r="AB60" s="239" t="s">
        <v>256</v>
      </c>
      <c r="AC60" s="69"/>
    </row>
    <row r="61" spans="2:29" ht="12.75">
      <c r="B61" s="32" t="s">
        <v>1958</v>
      </c>
      <c r="C61" s="32" t="s">
        <v>1673</v>
      </c>
      <c r="D61" s="33" t="s">
        <v>255</v>
      </c>
      <c r="E61" s="32" t="s">
        <v>1673</v>
      </c>
      <c r="F61" s="32" t="s">
        <v>1674</v>
      </c>
      <c r="G61" s="34" t="s">
        <v>1961</v>
      </c>
      <c r="H61" s="32">
        <v>0.78</v>
      </c>
      <c r="I61" s="83">
        <v>1.0070700601490075</v>
      </c>
      <c r="J61" s="65" t="s">
        <v>274</v>
      </c>
      <c r="K61" s="527">
        <v>1.0193449865833717</v>
      </c>
      <c r="L61" s="57">
        <v>4.3999999999999997E-2</v>
      </c>
      <c r="M61" s="65" t="s">
        <v>274</v>
      </c>
      <c r="N61" s="525" t="s">
        <v>1959</v>
      </c>
      <c r="O61" s="32" t="s">
        <v>1523</v>
      </c>
      <c r="P61" s="235" t="s">
        <v>275</v>
      </c>
      <c r="Q61" s="86"/>
      <c r="S61" s="32" t="s">
        <v>1958</v>
      </c>
      <c r="T61" s="32" t="s">
        <v>1673</v>
      </c>
      <c r="U61" s="33" t="s">
        <v>255</v>
      </c>
      <c r="V61" s="32" t="s">
        <v>1673</v>
      </c>
      <c r="W61" s="32" t="s">
        <v>1674</v>
      </c>
      <c r="X61" s="516">
        <v>18000</v>
      </c>
      <c r="Y61" s="132" t="s">
        <v>274</v>
      </c>
      <c r="Z61" s="133">
        <v>13500</v>
      </c>
      <c r="AA61" s="142" t="s">
        <v>1943</v>
      </c>
      <c r="AB61" s="238" t="s">
        <v>275</v>
      </c>
      <c r="AC61" s="69"/>
    </row>
    <row r="62" spans="2:29" ht="12.75">
      <c r="B62" s="32" t="s">
        <v>1958</v>
      </c>
      <c r="C62" s="32" t="s">
        <v>1673</v>
      </c>
      <c r="D62" s="33" t="s">
        <v>255</v>
      </c>
      <c r="E62" s="32" t="s">
        <v>1673</v>
      </c>
      <c r="F62" s="32" t="s">
        <v>1674</v>
      </c>
      <c r="G62" s="34" t="s">
        <v>1961</v>
      </c>
      <c r="H62" s="32">
        <v>0.78</v>
      </c>
      <c r="I62" s="83">
        <v>1.0070700601490075</v>
      </c>
      <c r="J62" s="65" t="s">
        <v>276</v>
      </c>
      <c r="K62" s="527"/>
      <c r="L62" s="57">
        <v>4.3999999999999997E-2</v>
      </c>
      <c r="M62" s="65" t="s">
        <v>274</v>
      </c>
      <c r="N62" s="525"/>
      <c r="O62" s="32" t="s">
        <v>1944</v>
      </c>
      <c r="P62" s="236" t="s">
        <v>277</v>
      </c>
      <c r="Q62" s="87"/>
      <c r="S62" s="32" t="s">
        <v>1958</v>
      </c>
      <c r="T62" s="32" t="s">
        <v>1673</v>
      </c>
      <c r="U62" s="33" t="s">
        <v>255</v>
      </c>
      <c r="V62" s="32" t="s">
        <v>1673</v>
      </c>
      <c r="W62" s="32" t="s">
        <v>1674</v>
      </c>
      <c r="X62" s="516"/>
      <c r="Y62" s="134" t="s">
        <v>276</v>
      </c>
      <c r="Z62" s="135">
        <v>13500</v>
      </c>
      <c r="AA62" s="507" t="s">
        <v>1944</v>
      </c>
      <c r="AB62" s="490" t="s">
        <v>277</v>
      </c>
      <c r="AC62" s="69"/>
    </row>
    <row r="63" spans="2:29" ht="12.75">
      <c r="B63" s="32" t="s">
        <v>1958</v>
      </c>
      <c r="C63" s="32" t="s">
        <v>1673</v>
      </c>
      <c r="D63" s="33" t="s">
        <v>255</v>
      </c>
      <c r="E63" s="32" t="s">
        <v>1673</v>
      </c>
      <c r="F63" s="32" t="s">
        <v>1674</v>
      </c>
      <c r="G63" s="34" t="s">
        <v>1961</v>
      </c>
      <c r="H63" s="32">
        <v>0.78</v>
      </c>
      <c r="I63" s="83">
        <v>1.0070700601490075</v>
      </c>
      <c r="J63" s="65" t="s">
        <v>274</v>
      </c>
      <c r="K63" s="527"/>
      <c r="L63" s="57">
        <v>4.3999999999999997E-2</v>
      </c>
      <c r="M63" s="65" t="s">
        <v>276</v>
      </c>
      <c r="N63" s="525"/>
      <c r="O63" s="32" t="s">
        <v>1944</v>
      </c>
      <c r="P63" s="236" t="s">
        <v>277</v>
      </c>
      <c r="Q63" s="87"/>
      <c r="S63" s="32" t="s">
        <v>1958</v>
      </c>
      <c r="T63" s="32" t="s">
        <v>1673</v>
      </c>
      <c r="U63" s="33" t="s">
        <v>255</v>
      </c>
      <c r="V63" s="32" t="s">
        <v>1673</v>
      </c>
      <c r="W63" s="32" t="s">
        <v>1674</v>
      </c>
      <c r="X63" s="516"/>
      <c r="Y63" s="136" t="s">
        <v>274</v>
      </c>
      <c r="Z63" s="137">
        <v>22500</v>
      </c>
      <c r="AA63" s="507"/>
      <c r="AB63" s="490"/>
      <c r="AC63" s="69"/>
    </row>
    <row r="64" spans="2:29" ht="12.75">
      <c r="B64" s="32" t="s">
        <v>1958</v>
      </c>
      <c r="C64" s="32" t="s">
        <v>1673</v>
      </c>
      <c r="D64" s="33" t="s">
        <v>255</v>
      </c>
      <c r="E64" s="32" t="s">
        <v>1673</v>
      </c>
      <c r="F64" s="32" t="s">
        <v>1674</v>
      </c>
      <c r="G64" s="34" t="s">
        <v>1961</v>
      </c>
      <c r="H64" s="32">
        <v>0.78</v>
      </c>
      <c r="I64" s="83">
        <v>1.0070700601490075</v>
      </c>
      <c r="J64" s="65" t="s">
        <v>276</v>
      </c>
      <c r="K64" s="527"/>
      <c r="L64" s="57">
        <v>4.3999999999999997E-2</v>
      </c>
      <c r="M64" s="65" t="s">
        <v>276</v>
      </c>
      <c r="N64" s="525"/>
      <c r="O64" s="32" t="s">
        <v>1945</v>
      </c>
      <c r="P64" s="237" t="s">
        <v>256</v>
      </c>
      <c r="Q64" s="87"/>
      <c r="S64" s="32" t="s">
        <v>1958</v>
      </c>
      <c r="T64" s="32" t="s">
        <v>1673</v>
      </c>
      <c r="U64" s="33" t="s">
        <v>255</v>
      </c>
      <c r="V64" s="32" t="s">
        <v>1673</v>
      </c>
      <c r="W64" s="32" t="s">
        <v>1674</v>
      </c>
      <c r="X64" s="516"/>
      <c r="Y64" s="132" t="s">
        <v>276</v>
      </c>
      <c r="Z64" s="133">
        <v>22500</v>
      </c>
      <c r="AA64" s="142" t="s">
        <v>1946</v>
      </c>
      <c r="AB64" s="239" t="s">
        <v>256</v>
      </c>
      <c r="AC64" s="69"/>
    </row>
    <row r="65" spans="2:29" ht="12.75">
      <c r="B65" s="35" t="s">
        <v>1958</v>
      </c>
      <c r="C65" s="35" t="s">
        <v>1673</v>
      </c>
      <c r="D65" s="36" t="s">
        <v>255</v>
      </c>
      <c r="E65" s="35" t="s">
        <v>1673</v>
      </c>
      <c r="F65" s="35" t="s">
        <v>1673</v>
      </c>
      <c r="G65" s="37" t="s">
        <v>1962</v>
      </c>
      <c r="H65" s="35">
        <v>0.78</v>
      </c>
      <c r="I65" s="83">
        <v>0.81037572520619516</v>
      </c>
      <c r="J65" s="80" t="s">
        <v>274</v>
      </c>
      <c r="K65" s="510">
        <v>1.0193449865833717</v>
      </c>
      <c r="L65" s="57">
        <v>4.3999999999999997E-2</v>
      </c>
      <c r="M65" s="80" t="s">
        <v>274</v>
      </c>
      <c r="N65" s="526" t="s">
        <v>1959</v>
      </c>
      <c r="O65" s="35" t="s">
        <v>1523</v>
      </c>
      <c r="P65" s="235" t="s">
        <v>275</v>
      </c>
      <c r="Q65" s="86"/>
      <c r="S65" s="32" t="s">
        <v>1958</v>
      </c>
      <c r="T65" s="35" t="s">
        <v>1673</v>
      </c>
      <c r="U65" s="36" t="s">
        <v>255</v>
      </c>
      <c r="V65" s="35" t="s">
        <v>1673</v>
      </c>
      <c r="W65" s="35" t="s">
        <v>1673</v>
      </c>
      <c r="X65" s="515">
        <v>20000</v>
      </c>
      <c r="Y65" s="149" t="s">
        <v>274</v>
      </c>
      <c r="Z65" s="150">
        <v>15000</v>
      </c>
      <c r="AA65" s="141" t="s">
        <v>1943</v>
      </c>
      <c r="AB65" s="238" t="s">
        <v>275</v>
      </c>
      <c r="AC65" s="69"/>
    </row>
    <row r="66" spans="2:29" ht="12.75">
      <c r="B66" s="35" t="s">
        <v>1958</v>
      </c>
      <c r="C66" s="35" t="s">
        <v>1673</v>
      </c>
      <c r="D66" s="36" t="s">
        <v>255</v>
      </c>
      <c r="E66" s="35" t="s">
        <v>1673</v>
      </c>
      <c r="F66" s="35" t="s">
        <v>1673</v>
      </c>
      <c r="G66" s="37" t="s">
        <v>1962</v>
      </c>
      <c r="H66" s="35">
        <v>0.78</v>
      </c>
      <c r="I66" s="83">
        <v>0.81037572520619516</v>
      </c>
      <c r="J66" s="80" t="s">
        <v>276</v>
      </c>
      <c r="K66" s="510"/>
      <c r="L66" s="57">
        <v>4.3999999999999997E-2</v>
      </c>
      <c r="M66" s="80" t="s">
        <v>274</v>
      </c>
      <c r="N66" s="526"/>
      <c r="O66" s="35" t="s">
        <v>1944</v>
      </c>
      <c r="P66" s="236" t="s">
        <v>277</v>
      </c>
      <c r="Q66" s="87"/>
      <c r="S66" s="32" t="s">
        <v>1958</v>
      </c>
      <c r="T66" s="35" t="s">
        <v>1673</v>
      </c>
      <c r="U66" s="36" t="s">
        <v>255</v>
      </c>
      <c r="V66" s="35" t="s">
        <v>1673</v>
      </c>
      <c r="W66" s="35" t="s">
        <v>1673</v>
      </c>
      <c r="X66" s="515"/>
      <c r="Y66" s="151" t="s">
        <v>276</v>
      </c>
      <c r="Z66" s="152">
        <v>15000</v>
      </c>
      <c r="AA66" s="508" t="s">
        <v>1944</v>
      </c>
      <c r="AB66" s="490" t="s">
        <v>277</v>
      </c>
      <c r="AC66" s="69"/>
    </row>
    <row r="67" spans="2:29" ht="12.75">
      <c r="B67" s="35" t="s">
        <v>1958</v>
      </c>
      <c r="C67" s="35" t="s">
        <v>1673</v>
      </c>
      <c r="D67" s="36" t="s">
        <v>255</v>
      </c>
      <c r="E67" s="35" t="s">
        <v>1673</v>
      </c>
      <c r="F67" s="35" t="s">
        <v>1673</v>
      </c>
      <c r="G67" s="37" t="s">
        <v>1962</v>
      </c>
      <c r="H67" s="35">
        <v>0.78</v>
      </c>
      <c r="I67" s="83">
        <v>0.81037572520619516</v>
      </c>
      <c r="J67" s="80" t="s">
        <v>274</v>
      </c>
      <c r="K67" s="510"/>
      <c r="L67" s="57">
        <v>4.3999999999999997E-2</v>
      </c>
      <c r="M67" s="80" t="s">
        <v>276</v>
      </c>
      <c r="N67" s="526"/>
      <c r="O67" s="35" t="s">
        <v>1944</v>
      </c>
      <c r="P67" s="236" t="s">
        <v>277</v>
      </c>
      <c r="Q67" s="87"/>
      <c r="S67" s="32" t="s">
        <v>1958</v>
      </c>
      <c r="T67" s="35" t="s">
        <v>1673</v>
      </c>
      <c r="U67" s="36" t="s">
        <v>255</v>
      </c>
      <c r="V67" s="35" t="s">
        <v>1673</v>
      </c>
      <c r="W67" s="35" t="s">
        <v>1673</v>
      </c>
      <c r="X67" s="515"/>
      <c r="Y67" s="153" t="s">
        <v>274</v>
      </c>
      <c r="Z67" s="154">
        <v>25000</v>
      </c>
      <c r="AA67" s="508"/>
      <c r="AB67" s="490"/>
      <c r="AC67" s="69"/>
    </row>
    <row r="68" spans="2:29" ht="12.75">
      <c r="B68" s="35" t="s">
        <v>1958</v>
      </c>
      <c r="C68" s="35" t="s">
        <v>1673</v>
      </c>
      <c r="D68" s="36" t="s">
        <v>255</v>
      </c>
      <c r="E68" s="35" t="s">
        <v>1673</v>
      </c>
      <c r="F68" s="35" t="s">
        <v>1673</v>
      </c>
      <c r="G68" s="37" t="s">
        <v>1962</v>
      </c>
      <c r="H68" s="35">
        <v>0.78</v>
      </c>
      <c r="I68" s="83">
        <v>0.81037572520619516</v>
      </c>
      <c r="J68" s="80" t="s">
        <v>276</v>
      </c>
      <c r="K68" s="510"/>
      <c r="L68" s="57">
        <v>4.3999999999999997E-2</v>
      </c>
      <c r="M68" s="80" t="s">
        <v>276</v>
      </c>
      <c r="N68" s="526"/>
      <c r="O68" s="35" t="s">
        <v>1945</v>
      </c>
      <c r="P68" s="237" t="s">
        <v>256</v>
      </c>
      <c r="Q68" s="87"/>
      <c r="S68" s="32" t="s">
        <v>1958</v>
      </c>
      <c r="T68" s="35" t="s">
        <v>1673</v>
      </c>
      <c r="U68" s="36" t="s">
        <v>255</v>
      </c>
      <c r="V68" s="35" t="s">
        <v>1673</v>
      </c>
      <c r="W68" s="35" t="s">
        <v>1673</v>
      </c>
      <c r="X68" s="515"/>
      <c r="Y68" s="149" t="s">
        <v>276</v>
      </c>
      <c r="Z68" s="150">
        <v>25000</v>
      </c>
      <c r="AA68" s="141" t="s">
        <v>1946</v>
      </c>
      <c r="AB68" s="239" t="s">
        <v>256</v>
      </c>
      <c r="AC68" s="69"/>
    </row>
    <row r="69" spans="2:29" ht="12.75">
      <c r="B69" s="41" t="s">
        <v>1958</v>
      </c>
      <c r="C69" s="41" t="s">
        <v>1673</v>
      </c>
      <c r="D69" s="42" t="s">
        <v>257</v>
      </c>
      <c r="E69" s="41" t="s">
        <v>1674</v>
      </c>
      <c r="F69" s="41" t="s">
        <v>1674</v>
      </c>
      <c r="G69" s="43" t="s">
        <v>1963</v>
      </c>
      <c r="H69" s="32">
        <v>0.63</v>
      </c>
      <c r="I69" s="83">
        <v>0.66536469863931291</v>
      </c>
      <c r="J69" s="65" t="s">
        <v>274</v>
      </c>
      <c r="K69" s="527">
        <v>1.0193449865833717</v>
      </c>
      <c r="L69" s="57">
        <v>2.1999999999999999E-2</v>
      </c>
      <c r="M69" s="65" t="s">
        <v>274</v>
      </c>
      <c r="N69" s="525" t="s">
        <v>1959</v>
      </c>
      <c r="O69" s="32" t="s">
        <v>1523</v>
      </c>
      <c r="P69" s="235" t="s">
        <v>275</v>
      </c>
      <c r="Q69" s="86"/>
      <c r="S69" s="32" t="s">
        <v>1958</v>
      </c>
      <c r="T69" s="32" t="s">
        <v>1673</v>
      </c>
      <c r="U69" s="33" t="s">
        <v>257</v>
      </c>
      <c r="V69" s="32" t="s">
        <v>1674</v>
      </c>
      <c r="W69" s="32" t="s">
        <v>1674</v>
      </c>
      <c r="X69" s="516">
        <v>40000</v>
      </c>
      <c r="Y69" s="132" t="s">
        <v>274</v>
      </c>
      <c r="Z69" s="133">
        <v>30000</v>
      </c>
      <c r="AA69" s="142" t="s">
        <v>1943</v>
      </c>
      <c r="AB69" s="238" t="s">
        <v>275</v>
      </c>
      <c r="AC69" s="69"/>
    </row>
    <row r="70" spans="2:29" ht="12.75">
      <c r="B70" s="41" t="s">
        <v>1958</v>
      </c>
      <c r="C70" s="41" t="s">
        <v>1673</v>
      </c>
      <c r="D70" s="42" t="s">
        <v>257</v>
      </c>
      <c r="E70" s="41" t="s">
        <v>1674</v>
      </c>
      <c r="F70" s="41" t="s">
        <v>1674</v>
      </c>
      <c r="G70" s="43" t="s">
        <v>1963</v>
      </c>
      <c r="H70" s="32">
        <v>0.63</v>
      </c>
      <c r="I70" s="83">
        <v>0.66536469863931291</v>
      </c>
      <c r="J70" s="65" t="s">
        <v>276</v>
      </c>
      <c r="K70" s="527"/>
      <c r="L70" s="57">
        <v>2.1999999999999999E-2</v>
      </c>
      <c r="M70" s="65" t="s">
        <v>274</v>
      </c>
      <c r="N70" s="525"/>
      <c r="O70" s="32" t="s">
        <v>1944</v>
      </c>
      <c r="P70" s="236" t="s">
        <v>277</v>
      </c>
      <c r="Q70" s="87"/>
      <c r="S70" s="32" t="s">
        <v>1958</v>
      </c>
      <c r="T70" s="32" t="s">
        <v>1673</v>
      </c>
      <c r="U70" s="33" t="s">
        <v>257</v>
      </c>
      <c r="V70" s="32" t="s">
        <v>1674</v>
      </c>
      <c r="W70" s="32" t="s">
        <v>1674</v>
      </c>
      <c r="X70" s="516"/>
      <c r="Y70" s="134" t="s">
        <v>276</v>
      </c>
      <c r="Z70" s="135">
        <v>30000</v>
      </c>
      <c r="AA70" s="507" t="s">
        <v>1944</v>
      </c>
      <c r="AB70" s="490" t="s">
        <v>277</v>
      </c>
      <c r="AC70" s="69"/>
    </row>
    <row r="71" spans="2:29" ht="12.75">
      <c r="B71" s="41" t="s">
        <v>1958</v>
      </c>
      <c r="C71" s="41" t="s">
        <v>1673</v>
      </c>
      <c r="D71" s="42" t="s">
        <v>257</v>
      </c>
      <c r="E71" s="41" t="s">
        <v>1674</v>
      </c>
      <c r="F71" s="41" t="s">
        <v>1674</v>
      </c>
      <c r="G71" s="43" t="s">
        <v>1963</v>
      </c>
      <c r="H71" s="32">
        <v>0.63</v>
      </c>
      <c r="I71" s="83">
        <v>0.66536469863931291</v>
      </c>
      <c r="J71" s="65" t="s">
        <v>274</v>
      </c>
      <c r="K71" s="527"/>
      <c r="L71" s="57">
        <v>2.1999999999999999E-2</v>
      </c>
      <c r="M71" s="65" t="s">
        <v>276</v>
      </c>
      <c r="N71" s="525"/>
      <c r="O71" s="32" t="s">
        <v>1944</v>
      </c>
      <c r="P71" s="236" t="s">
        <v>277</v>
      </c>
      <c r="Q71" s="87"/>
      <c r="S71" s="32" t="s">
        <v>1958</v>
      </c>
      <c r="T71" s="32" t="s">
        <v>1673</v>
      </c>
      <c r="U71" s="33" t="s">
        <v>257</v>
      </c>
      <c r="V71" s="32" t="s">
        <v>1674</v>
      </c>
      <c r="W71" s="32" t="s">
        <v>1674</v>
      </c>
      <c r="X71" s="516"/>
      <c r="Y71" s="136" t="s">
        <v>274</v>
      </c>
      <c r="Z71" s="137">
        <v>50000</v>
      </c>
      <c r="AA71" s="507"/>
      <c r="AB71" s="490"/>
      <c r="AC71" s="69"/>
    </row>
    <row r="72" spans="2:29" ht="12.75">
      <c r="B72" s="41" t="s">
        <v>1958</v>
      </c>
      <c r="C72" s="41" t="s">
        <v>1673</v>
      </c>
      <c r="D72" s="42" t="s">
        <v>257</v>
      </c>
      <c r="E72" s="41" t="s">
        <v>1674</v>
      </c>
      <c r="F72" s="41" t="s">
        <v>1674</v>
      </c>
      <c r="G72" s="43" t="s">
        <v>1963</v>
      </c>
      <c r="H72" s="32">
        <v>0.63</v>
      </c>
      <c r="I72" s="83">
        <v>0.66536469863931291</v>
      </c>
      <c r="J72" s="65" t="s">
        <v>276</v>
      </c>
      <c r="K72" s="527"/>
      <c r="L72" s="57">
        <v>2.1999999999999999E-2</v>
      </c>
      <c r="M72" s="65" t="s">
        <v>276</v>
      </c>
      <c r="N72" s="525"/>
      <c r="O72" s="32" t="s">
        <v>1945</v>
      </c>
      <c r="P72" s="237" t="s">
        <v>256</v>
      </c>
      <c r="Q72" s="87"/>
      <c r="S72" s="32" t="s">
        <v>1958</v>
      </c>
      <c r="T72" s="32" t="s">
        <v>1673</v>
      </c>
      <c r="U72" s="33" t="s">
        <v>257</v>
      </c>
      <c r="V72" s="32" t="s">
        <v>1674</v>
      </c>
      <c r="W72" s="32" t="s">
        <v>1674</v>
      </c>
      <c r="X72" s="516"/>
      <c r="Y72" s="132" t="s">
        <v>276</v>
      </c>
      <c r="Z72" s="133">
        <v>50000</v>
      </c>
      <c r="AA72" s="142" t="s">
        <v>1946</v>
      </c>
      <c r="AB72" s="239" t="s">
        <v>256</v>
      </c>
      <c r="AC72" s="69"/>
    </row>
    <row r="73" spans="2:29" ht="12.75">
      <c r="B73" s="35" t="s">
        <v>1958</v>
      </c>
      <c r="C73" s="35" t="s">
        <v>1673</v>
      </c>
      <c r="D73" s="36" t="s">
        <v>257</v>
      </c>
      <c r="E73" s="35" t="s">
        <v>1674</v>
      </c>
      <c r="F73" s="35" t="s">
        <v>1673</v>
      </c>
      <c r="G73" s="37" t="s">
        <v>1964</v>
      </c>
      <c r="H73" s="35">
        <v>0.63</v>
      </c>
      <c r="I73" s="83">
        <v>0.49327394821651088</v>
      </c>
      <c r="J73" s="80" t="s">
        <v>274</v>
      </c>
      <c r="K73" s="510">
        <v>1.0193449865833717</v>
      </c>
      <c r="L73" s="57">
        <v>2.1999999999999999E-2</v>
      </c>
      <c r="M73" s="80" t="s">
        <v>274</v>
      </c>
      <c r="N73" s="526" t="s">
        <v>1959</v>
      </c>
      <c r="O73" s="35" t="s">
        <v>1523</v>
      </c>
      <c r="P73" s="235" t="s">
        <v>275</v>
      </c>
      <c r="Q73" s="86"/>
      <c r="S73" s="32" t="s">
        <v>1958</v>
      </c>
      <c r="T73" s="35" t="s">
        <v>1673</v>
      </c>
      <c r="U73" s="36" t="s">
        <v>257</v>
      </c>
      <c r="V73" s="35" t="s">
        <v>1674</v>
      </c>
      <c r="W73" s="35" t="s">
        <v>1673</v>
      </c>
      <c r="X73" s="515">
        <v>40000</v>
      </c>
      <c r="Y73" s="149" t="s">
        <v>274</v>
      </c>
      <c r="Z73" s="150">
        <v>30000</v>
      </c>
      <c r="AA73" s="141" t="s">
        <v>1943</v>
      </c>
      <c r="AB73" s="238" t="s">
        <v>275</v>
      </c>
      <c r="AC73" s="69"/>
    </row>
    <row r="74" spans="2:29" ht="12.75">
      <c r="B74" s="35" t="s">
        <v>1958</v>
      </c>
      <c r="C74" s="35" t="s">
        <v>1673</v>
      </c>
      <c r="D74" s="36" t="s">
        <v>257</v>
      </c>
      <c r="E74" s="35" t="s">
        <v>1674</v>
      </c>
      <c r="F74" s="35" t="s">
        <v>1673</v>
      </c>
      <c r="G74" s="37" t="s">
        <v>1964</v>
      </c>
      <c r="H74" s="35">
        <v>0.63</v>
      </c>
      <c r="I74" s="83">
        <v>0.49327394821651088</v>
      </c>
      <c r="J74" s="80" t="s">
        <v>276</v>
      </c>
      <c r="K74" s="510"/>
      <c r="L74" s="57">
        <v>2.1999999999999999E-2</v>
      </c>
      <c r="M74" s="80" t="s">
        <v>274</v>
      </c>
      <c r="N74" s="526"/>
      <c r="O74" s="35" t="s">
        <v>1944</v>
      </c>
      <c r="P74" s="236" t="s">
        <v>277</v>
      </c>
      <c r="Q74" s="87"/>
      <c r="S74" s="32" t="s">
        <v>1958</v>
      </c>
      <c r="T74" s="35" t="s">
        <v>1673</v>
      </c>
      <c r="U74" s="36" t="s">
        <v>257</v>
      </c>
      <c r="V74" s="35" t="s">
        <v>1674</v>
      </c>
      <c r="W74" s="35" t="s">
        <v>1673</v>
      </c>
      <c r="X74" s="515"/>
      <c r="Y74" s="151" t="s">
        <v>276</v>
      </c>
      <c r="Z74" s="152">
        <v>30000</v>
      </c>
      <c r="AA74" s="508" t="s">
        <v>1944</v>
      </c>
      <c r="AB74" s="490" t="s">
        <v>277</v>
      </c>
      <c r="AC74" s="69"/>
    </row>
    <row r="75" spans="2:29" ht="12.75">
      <c r="B75" s="35" t="s">
        <v>1958</v>
      </c>
      <c r="C75" s="35" t="s">
        <v>1673</v>
      </c>
      <c r="D75" s="36" t="s">
        <v>257</v>
      </c>
      <c r="E75" s="35" t="s">
        <v>1674</v>
      </c>
      <c r="F75" s="35" t="s">
        <v>1673</v>
      </c>
      <c r="G75" s="37" t="s">
        <v>1964</v>
      </c>
      <c r="H75" s="35">
        <v>0.63</v>
      </c>
      <c r="I75" s="83">
        <v>0.49327394821651088</v>
      </c>
      <c r="J75" s="80" t="s">
        <v>274</v>
      </c>
      <c r="K75" s="510"/>
      <c r="L75" s="57">
        <v>2.1999999999999999E-2</v>
      </c>
      <c r="M75" s="80" t="s">
        <v>276</v>
      </c>
      <c r="N75" s="526"/>
      <c r="O75" s="35" t="s">
        <v>1944</v>
      </c>
      <c r="P75" s="236" t="s">
        <v>277</v>
      </c>
      <c r="Q75" s="87"/>
      <c r="S75" s="32" t="s">
        <v>1958</v>
      </c>
      <c r="T75" s="35" t="s">
        <v>1673</v>
      </c>
      <c r="U75" s="36" t="s">
        <v>257</v>
      </c>
      <c r="V75" s="35" t="s">
        <v>1674</v>
      </c>
      <c r="W75" s="35" t="s">
        <v>1673</v>
      </c>
      <c r="X75" s="515"/>
      <c r="Y75" s="153" t="s">
        <v>274</v>
      </c>
      <c r="Z75" s="154">
        <v>50000</v>
      </c>
      <c r="AA75" s="508"/>
      <c r="AB75" s="490"/>
      <c r="AC75" s="69"/>
    </row>
    <row r="76" spans="2:29" ht="12.75">
      <c r="B76" s="35" t="s">
        <v>1958</v>
      </c>
      <c r="C76" s="35" t="s">
        <v>1673</v>
      </c>
      <c r="D76" s="36" t="s">
        <v>257</v>
      </c>
      <c r="E76" s="35" t="s">
        <v>1674</v>
      </c>
      <c r="F76" s="35" t="s">
        <v>1673</v>
      </c>
      <c r="G76" s="37" t="s">
        <v>1964</v>
      </c>
      <c r="H76" s="35">
        <v>0.63</v>
      </c>
      <c r="I76" s="83">
        <v>0.49327394821651088</v>
      </c>
      <c r="J76" s="80" t="s">
        <v>276</v>
      </c>
      <c r="K76" s="510"/>
      <c r="L76" s="57">
        <v>2.1999999999999999E-2</v>
      </c>
      <c r="M76" s="80" t="s">
        <v>276</v>
      </c>
      <c r="N76" s="526"/>
      <c r="O76" s="35" t="s">
        <v>1945</v>
      </c>
      <c r="P76" s="237" t="s">
        <v>256</v>
      </c>
      <c r="Q76" s="87"/>
      <c r="S76" s="32" t="s">
        <v>1958</v>
      </c>
      <c r="T76" s="35" t="s">
        <v>1673</v>
      </c>
      <c r="U76" s="36" t="s">
        <v>257</v>
      </c>
      <c r="V76" s="35" t="s">
        <v>1674</v>
      </c>
      <c r="W76" s="35" t="s">
        <v>1673</v>
      </c>
      <c r="X76" s="515"/>
      <c r="Y76" s="149" t="s">
        <v>276</v>
      </c>
      <c r="Z76" s="150">
        <v>50000</v>
      </c>
      <c r="AA76" s="141" t="s">
        <v>1946</v>
      </c>
      <c r="AB76" s="239" t="s">
        <v>256</v>
      </c>
      <c r="AC76" s="69"/>
    </row>
    <row r="77" spans="2:29" ht="12.75">
      <c r="B77" s="41" t="s">
        <v>1958</v>
      </c>
      <c r="C77" s="41" t="s">
        <v>1673</v>
      </c>
      <c r="D77" s="42" t="s">
        <v>257</v>
      </c>
      <c r="E77" s="41" t="s">
        <v>1673</v>
      </c>
      <c r="F77" s="41" t="s">
        <v>1674</v>
      </c>
      <c r="G77" s="43" t="s">
        <v>1965</v>
      </c>
      <c r="H77" s="32">
        <v>0.78</v>
      </c>
      <c r="I77" s="83">
        <v>0.53438125101130185</v>
      </c>
      <c r="J77" s="65" t="s">
        <v>274</v>
      </c>
      <c r="K77" s="527">
        <v>1.0193449865833717</v>
      </c>
      <c r="L77" s="57">
        <v>6.3E-2</v>
      </c>
      <c r="M77" s="65" t="s">
        <v>274</v>
      </c>
      <c r="N77" s="525" t="s">
        <v>1959</v>
      </c>
      <c r="O77" s="32" t="s">
        <v>1523</v>
      </c>
      <c r="P77" s="235" t="s">
        <v>275</v>
      </c>
      <c r="Q77" s="86"/>
      <c r="S77" s="32" t="s">
        <v>1958</v>
      </c>
      <c r="T77" s="32" t="s">
        <v>1673</v>
      </c>
      <c r="U77" s="33" t="s">
        <v>257</v>
      </c>
      <c r="V77" s="32" t="s">
        <v>1673</v>
      </c>
      <c r="W77" s="32" t="s">
        <v>1674</v>
      </c>
      <c r="X77" s="516">
        <v>15500</v>
      </c>
      <c r="Y77" s="132" t="s">
        <v>274</v>
      </c>
      <c r="Z77" s="133">
        <v>11625</v>
      </c>
      <c r="AA77" s="142" t="s">
        <v>1943</v>
      </c>
      <c r="AB77" s="238" t="s">
        <v>275</v>
      </c>
      <c r="AC77" s="69"/>
    </row>
    <row r="78" spans="2:29" ht="12.75">
      <c r="B78" s="41" t="s">
        <v>1958</v>
      </c>
      <c r="C78" s="41" t="s">
        <v>1673</v>
      </c>
      <c r="D78" s="42" t="s">
        <v>257</v>
      </c>
      <c r="E78" s="41" t="s">
        <v>1673</v>
      </c>
      <c r="F78" s="41" t="s">
        <v>1674</v>
      </c>
      <c r="G78" s="43" t="s">
        <v>1965</v>
      </c>
      <c r="H78" s="32">
        <v>0.78</v>
      </c>
      <c r="I78" s="83">
        <v>0.53438125101130185</v>
      </c>
      <c r="J78" s="65" t="s">
        <v>276</v>
      </c>
      <c r="K78" s="527"/>
      <c r="L78" s="57">
        <v>6.3E-2</v>
      </c>
      <c r="M78" s="65" t="s">
        <v>274</v>
      </c>
      <c r="N78" s="525"/>
      <c r="O78" s="32" t="s">
        <v>1944</v>
      </c>
      <c r="P78" s="236" t="s">
        <v>277</v>
      </c>
      <c r="Q78" s="87"/>
      <c r="S78" s="32" t="s">
        <v>1958</v>
      </c>
      <c r="T78" s="32" t="s">
        <v>1673</v>
      </c>
      <c r="U78" s="33" t="s">
        <v>257</v>
      </c>
      <c r="V78" s="32" t="s">
        <v>1673</v>
      </c>
      <c r="W78" s="32" t="s">
        <v>1674</v>
      </c>
      <c r="X78" s="516"/>
      <c r="Y78" s="134" t="s">
        <v>276</v>
      </c>
      <c r="Z78" s="135">
        <v>11625</v>
      </c>
      <c r="AA78" s="507" t="s">
        <v>1944</v>
      </c>
      <c r="AB78" s="490" t="s">
        <v>277</v>
      </c>
      <c r="AC78" s="69"/>
    </row>
    <row r="79" spans="2:29" ht="12.75">
      <c r="B79" s="41" t="s">
        <v>1958</v>
      </c>
      <c r="C79" s="41" t="s">
        <v>1673</v>
      </c>
      <c r="D79" s="42" t="s">
        <v>257</v>
      </c>
      <c r="E79" s="41" t="s">
        <v>1673</v>
      </c>
      <c r="F79" s="41" t="s">
        <v>1674</v>
      </c>
      <c r="G79" s="43" t="s">
        <v>1965</v>
      </c>
      <c r="H79" s="32">
        <v>0.78</v>
      </c>
      <c r="I79" s="83">
        <v>0.53438125101130185</v>
      </c>
      <c r="J79" s="65" t="s">
        <v>274</v>
      </c>
      <c r="K79" s="527"/>
      <c r="L79" s="57">
        <v>6.3E-2</v>
      </c>
      <c r="M79" s="65" t="s">
        <v>276</v>
      </c>
      <c r="N79" s="525"/>
      <c r="O79" s="32" t="s">
        <v>1944</v>
      </c>
      <c r="P79" s="236" t="s">
        <v>277</v>
      </c>
      <c r="Q79" s="87"/>
      <c r="S79" s="32" t="s">
        <v>1958</v>
      </c>
      <c r="T79" s="32" t="s">
        <v>1673</v>
      </c>
      <c r="U79" s="33" t="s">
        <v>257</v>
      </c>
      <c r="V79" s="32" t="s">
        <v>1673</v>
      </c>
      <c r="W79" s="32" t="s">
        <v>1674</v>
      </c>
      <c r="X79" s="516"/>
      <c r="Y79" s="136" t="s">
        <v>274</v>
      </c>
      <c r="Z79" s="137">
        <v>19375</v>
      </c>
      <c r="AA79" s="507"/>
      <c r="AB79" s="490"/>
      <c r="AC79" s="69"/>
    </row>
    <row r="80" spans="2:29" ht="12.75">
      <c r="B80" s="41" t="s">
        <v>1958</v>
      </c>
      <c r="C80" s="41" t="s">
        <v>1673</v>
      </c>
      <c r="D80" s="42" t="s">
        <v>257</v>
      </c>
      <c r="E80" s="41" t="s">
        <v>1673</v>
      </c>
      <c r="F80" s="41" t="s">
        <v>1674</v>
      </c>
      <c r="G80" s="43" t="s">
        <v>1965</v>
      </c>
      <c r="H80" s="32">
        <v>0.78</v>
      </c>
      <c r="I80" s="83">
        <v>0.53438125101130185</v>
      </c>
      <c r="J80" s="65" t="s">
        <v>276</v>
      </c>
      <c r="K80" s="527"/>
      <c r="L80" s="57">
        <v>6.3E-2</v>
      </c>
      <c r="M80" s="65" t="s">
        <v>276</v>
      </c>
      <c r="N80" s="525"/>
      <c r="O80" s="32" t="s">
        <v>1945</v>
      </c>
      <c r="P80" s="237" t="s">
        <v>256</v>
      </c>
      <c r="Q80" s="87"/>
      <c r="S80" s="32" t="s">
        <v>1958</v>
      </c>
      <c r="T80" s="32" t="s">
        <v>1673</v>
      </c>
      <c r="U80" s="33" t="s">
        <v>257</v>
      </c>
      <c r="V80" s="32" t="s">
        <v>1673</v>
      </c>
      <c r="W80" s="32" t="s">
        <v>1674</v>
      </c>
      <c r="X80" s="516"/>
      <c r="Y80" s="132" t="s">
        <v>276</v>
      </c>
      <c r="Z80" s="133">
        <v>19375</v>
      </c>
      <c r="AA80" s="142" t="s">
        <v>1946</v>
      </c>
      <c r="AB80" s="239" t="s">
        <v>256</v>
      </c>
      <c r="AC80" s="69"/>
    </row>
    <row r="81" spans="2:29" ht="12.75">
      <c r="B81" s="44" t="s">
        <v>1958</v>
      </c>
      <c r="C81" s="44" t="s">
        <v>1673</v>
      </c>
      <c r="D81" s="45" t="s">
        <v>257</v>
      </c>
      <c r="E81" s="44" t="s">
        <v>1673</v>
      </c>
      <c r="F81" s="44" t="s">
        <v>1673</v>
      </c>
      <c r="G81" s="46" t="s">
        <v>1966</v>
      </c>
      <c r="H81" s="35">
        <v>0.78</v>
      </c>
      <c r="I81" s="83">
        <v>0.42674056907220631</v>
      </c>
      <c r="J81" s="80" t="s">
        <v>274</v>
      </c>
      <c r="K81" s="510">
        <v>1.0193449865833717</v>
      </c>
      <c r="L81" s="57">
        <v>6.3E-2</v>
      </c>
      <c r="M81" s="80" t="s">
        <v>274</v>
      </c>
      <c r="N81" s="526" t="s">
        <v>1959</v>
      </c>
      <c r="O81" s="35" t="s">
        <v>1523</v>
      </c>
      <c r="P81" s="235" t="s">
        <v>275</v>
      </c>
      <c r="Q81" s="86"/>
      <c r="S81" s="32" t="s">
        <v>1958</v>
      </c>
      <c r="T81" s="35" t="s">
        <v>1673</v>
      </c>
      <c r="U81" s="36" t="s">
        <v>257</v>
      </c>
      <c r="V81" s="35" t="s">
        <v>1673</v>
      </c>
      <c r="W81" s="35" t="s">
        <v>1673</v>
      </c>
      <c r="X81" s="515">
        <v>17000</v>
      </c>
      <c r="Y81" s="149" t="s">
        <v>274</v>
      </c>
      <c r="Z81" s="150">
        <v>12750</v>
      </c>
      <c r="AA81" s="141" t="s">
        <v>1943</v>
      </c>
      <c r="AB81" s="238" t="s">
        <v>275</v>
      </c>
      <c r="AC81" s="69"/>
    </row>
    <row r="82" spans="2:29" ht="12.75">
      <c r="B82" s="44" t="s">
        <v>1958</v>
      </c>
      <c r="C82" s="44" t="s">
        <v>1673</v>
      </c>
      <c r="D82" s="45" t="s">
        <v>257</v>
      </c>
      <c r="E82" s="44" t="s">
        <v>1673</v>
      </c>
      <c r="F82" s="44" t="s">
        <v>1673</v>
      </c>
      <c r="G82" s="46" t="s">
        <v>1966</v>
      </c>
      <c r="H82" s="35">
        <v>0.78</v>
      </c>
      <c r="I82" s="83">
        <v>0.42674056907220631</v>
      </c>
      <c r="J82" s="80" t="s">
        <v>276</v>
      </c>
      <c r="K82" s="510"/>
      <c r="L82" s="57">
        <v>6.3E-2</v>
      </c>
      <c r="M82" s="80" t="s">
        <v>274</v>
      </c>
      <c r="N82" s="526"/>
      <c r="O82" s="35" t="s">
        <v>1944</v>
      </c>
      <c r="P82" s="236" t="s">
        <v>277</v>
      </c>
      <c r="Q82" s="87"/>
      <c r="S82" s="32" t="s">
        <v>1958</v>
      </c>
      <c r="T82" s="35" t="s">
        <v>1673</v>
      </c>
      <c r="U82" s="36" t="s">
        <v>257</v>
      </c>
      <c r="V82" s="35" t="s">
        <v>1673</v>
      </c>
      <c r="W82" s="35" t="s">
        <v>1673</v>
      </c>
      <c r="X82" s="515"/>
      <c r="Y82" s="151" t="s">
        <v>276</v>
      </c>
      <c r="Z82" s="152">
        <v>12750</v>
      </c>
      <c r="AA82" s="508" t="s">
        <v>1944</v>
      </c>
      <c r="AB82" s="490" t="s">
        <v>277</v>
      </c>
      <c r="AC82" s="69"/>
    </row>
    <row r="83" spans="2:29" ht="12.75">
      <c r="B83" s="44" t="s">
        <v>1958</v>
      </c>
      <c r="C83" s="44" t="s">
        <v>1673</v>
      </c>
      <c r="D83" s="45" t="s">
        <v>257</v>
      </c>
      <c r="E83" s="44" t="s">
        <v>1673</v>
      </c>
      <c r="F83" s="44" t="s">
        <v>1673</v>
      </c>
      <c r="G83" s="46" t="s">
        <v>1966</v>
      </c>
      <c r="H83" s="35">
        <v>0.78</v>
      </c>
      <c r="I83" s="83">
        <v>0.42674056907220631</v>
      </c>
      <c r="J83" s="80" t="s">
        <v>274</v>
      </c>
      <c r="K83" s="510"/>
      <c r="L83" s="57">
        <v>6.3E-2</v>
      </c>
      <c r="M83" s="80" t="s">
        <v>276</v>
      </c>
      <c r="N83" s="526"/>
      <c r="O83" s="35" t="s">
        <v>1944</v>
      </c>
      <c r="P83" s="236" t="s">
        <v>277</v>
      </c>
      <c r="Q83" s="87"/>
      <c r="S83" s="32" t="s">
        <v>1958</v>
      </c>
      <c r="T83" s="35" t="s">
        <v>1673</v>
      </c>
      <c r="U83" s="36" t="s">
        <v>257</v>
      </c>
      <c r="V83" s="35" t="s">
        <v>1673</v>
      </c>
      <c r="W83" s="35" t="s">
        <v>1673</v>
      </c>
      <c r="X83" s="515"/>
      <c r="Y83" s="153" t="s">
        <v>274</v>
      </c>
      <c r="Z83" s="154">
        <v>21250</v>
      </c>
      <c r="AA83" s="508"/>
      <c r="AB83" s="490"/>
      <c r="AC83" s="69"/>
    </row>
    <row r="84" spans="2:29" ht="12.75">
      <c r="B84" s="44" t="s">
        <v>1958</v>
      </c>
      <c r="C84" s="44" t="s">
        <v>1673</v>
      </c>
      <c r="D84" s="45" t="s">
        <v>257</v>
      </c>
      <c r="E84" s="44" t="s">
        <v>1673</v>
      </c>
      <c r="F84" s="44" t="s">
        <v>1673</v>
      </c>
      <c r="G84" s="46" t="s">
        <v>1966</v>
      </c>
      <c r="H84" s="35">
        <v>0.78</v>
      </c>
      <c r="I84" s="83">
        <v>0.42674056907220631</v>
      </c>
      <c r="J84" s="80" t="s">
        <v>276</v>
      </c>
      <c r="K84" s="510"/>
      <c r="L84" s="57">
        <v>6.3E-2</v>
      </c>
      <c r="M84" s="80" t="s">
        <v>276</v>
      </c>
      <c r="N84" s="526"/>
      <c r="O84" s="35" t="s">
        <v>1945</v>
      </c>
      <c r="P84" s="237" t="s">
        <v>256</v>
      </c>
      <c r="Q84" s="87"/>
      <c r="S84" s="32" t="s">
        <v>1958</v>
      </c>
      <c r="T84" s="35" t="s">
        <v>1673</v>
      </c>
      <c r="U84" s="36" t="s">
        <v>257</v>
      </c>
      <c r="V84" s="35" t="s">
        <v>1673</v>
      </c>
      <c r="W84" s="35" t="s">
        <v>1673</v>
      </c>
      <c r="X84" s="515"/>
      <c r="Y84" s="149" t="s">
        <v>276</v>
      </c>
      <c r="Z84" s="150">
        <v>21250</v>
      </c>
      <c r="AA84" s="141" t="s">
        <v>1946</v>
      </c>
      <c r="AB84" s="239" t="s">
        <v>256</v>
      </c>
      <c r="AC84" s="69"/>
    </row>
    <row r="85" spans="2:29" ht="12.75">
      <c r="B85" s="41" t="s">
        <v>1958</v>
      </c>
      <c r="C85" s="41" t="s">
        <v>1674</v>
      </c>
      <c r="D85" s="42" t="s">
        <v>255</v>
      </c>
      <c r="E85" s="41" t="s">
        <v>256</v>
      </c>
      <c r="F85" s="41" t="s">
        <v>1674</v>
      </c>
      <c r="G85" s="43" t="s">
        <v>1967</v>
      </c>
      <c r="H85" s="41">
        <v>0.56000000000000005</v>
      </c>
      <c r="I85" s="83">
        <v>1.2985134741811661</v>
      </c>
      <c r="J85" s="65" t="s">
        <v>274</v>
      </c>
      <c r="K85" s="527">
        <v>1.0193449865833717</v>
      </c>
      <c r="L85" s="57">
        <v>5.3999999999999999E-2</v>
      </c>
      <c r="M85" s="65" t="s">
        <v>274</v>
      </c>
      <c r="N85" s="525" t="s">
        <v>1959</v>
      </c>
      <c r="O85" s="32" t="s">
        <v>1523</v>
      </c>
      <c r="P85" s="235" t="s">
        <v>275</v>
      </c>
      <c r="Q85" s="86"/>
      <c r="S85" s="32" t="s">
        <v>1958</v>
      </c>
      <c r="T85" s="32" t="s">
        <v>1674</v>
      </c>
      <c r="U85" s="33" t="s">
        <v>255</v>
      </c>
      <c r="V85" s="32" t="s">
        <v>256</v>
      </c>
      <c r="W85" s="32" t="s">
        <v>1674</v>
      </c>
      <c r="X85" s="516">
        <v>31500</v>
      </c>
      <c r="Y85" s="132" t="s">
        <v>274</v>
      </c>
      <c r="Z85" s="133">
        <v>23625</v>
      </c>
      <c r="AA85" s="142" t="s">
        <v>1943</v>
      </c>
      <c r="AB85" s="238" t="s">
        <v>275</v>
      </c>
      <c r="AC85" s="69"/>
    </row>
    <row r="86" spans="2:29" ht="12.75">
      <c r="B86" s="41" t="s">
        <v>1958</v>
      </c>
      <c r="C86" s="41" t="s">
        <v>1674</v>
      </c>
      <c r="D86" s="42" t="s">
        <v>255</v>
      </c>
      <c r="E86" s="41" t="s">
        <v>256</v>
      </c>
      <c r="F86" s="41" t="s">
        <v>1674</v>
      </c>
      <c r="G86" s="43" t="s">
        <v>1967</v>
      </c>
      <c r="H86" s="41">
        <v>0.56000000000000005</v>
      </c>
      <c r="I86" s="83">
        <v>1.2985134741811661</v>
      </c>
      <c r="J86" s="65" t="s">
        <v>276</v>
      </c>
      <c r="K86" s="527"/>
      <c r="L86" s="57">
        <v>5.3999999999999999E-2</v>
      </c>
      <c r="M86" s="65" t="s">
        <v>274</v>
      </c>
      <c r="N86" s="525"/>
      <c r="O86" s="32" t="s">
        <v>1944</v>
      </c>
      <c r="P86" s="236" t="s">
        <v>277</v>
      </c>
      <c r="Q86" s="87"/>
      <c r="S86" s="32" t="s">
        <v>1958</v>
      </c>
      <c r="T86" s="32" t="s">
        <v>1674</v>
      </c>
      <c r="U86" s="33" t="s">
        <v>255</v>
      </c>
      <c r="V86" s="32" t="s">
        <v>256</v>
      </c>
      <c r="W86" s="32" t="s">
        <v>1674</v>
      </c>
      <c r="X86" s="516"/>
      <c r="Y86" s="134" t="s">
        <v>276</v>
      </c>
      <c r="Z86" s="135">
        <v>23625</v>
      </c>
      <c r="AA86" s="507" t="s">
        <v>1944</v>
      </c>
      <c r="AB86" s="490" t="s">
        <v>277</v>
      </c>
      <c r="AC86" s="69"/>
    </row>
    <row r="87" spans="2:29" ht="12.75">
      <c r="B87" s="41" t="s">
        <v>1958</v>
      </c>
      <c r="C87" s="41" t="s">
        <v>1674</v>
      </c>
      <c r="D87" s="42" t="s">
        <v>255</v>
      </c>
      <c r="E87" s="41" t="s">
        <v>256</v>
      </c>
      <c r="F87" s="41" t="s">
        <v>1674</v>
      </c>
      <c r="G87" s="43" t="s">
        <v>1967</v>
      </c>
      <c r="H87" s="41">
        <v>0.56000000000000005</v>
      </c>
      <c r="I87" s="83">
        <v>1.2985134741811661</v>
      </c>
      <c r="J87" s="65" t="s">
        <v>274</v>
      </c>
      <c r="K87" s="527"/>
      <c r="L87" s="57">
        <v>5.3999999999999999E-2</v>
      </c>
      <c r="M87" s="65" t="s">
        <v>276</v>
      </c>
      <c r="N87" s="525"/>
      <c r="O87" s="32" t="s">
        <v>1944</v>
      </c>
      <c r="P87" s="236" t="s">
        <v>277</v>
      </c>
      <c r="Q87" s="87"/>
      <c r="S87" s="32" t="s">
        <v>1958</v>
      </c>
      <c r="T87" s="32" t="s">
        <v>1674</v>
      </c>
      <c r="U87" s="33" t="s">
        <v>255</v>
      </c>
      <c r="V87" s="32" t="s">
        <v>256</v>
      </c>
      <c r="W87" s="32" t="s">
        <v>1674</v>
      </c>
      <c r="X87" s="516"/>
      <c r="Y87" s="136" t="s">
        <v>274</v>
      </c>
      <c r="Z87" s="137">
        <v>39375</v>
      </c>
      <c r="AA87" s="507"/>
      <c r="AB87" s="490"/>
      <c r="AC87" s="69"/>
    </row>
    <row r="88" spans="2:29" ht="12.75">
      <c r="B88" s="41" t="s">
        <v>1958</v>
      </c>
      <c r="C88" s="41" t="s">
        <v>1674</v>
      </c>
      <c r="D88" s="42" t="s">
        <v>255</v>
      </c>
      <c r="E88" s="41" t="s">
        <v>256</v>
      </c>
      <c r="F88" s="41" t="s">
        <v>1674</v>
      </c>
      <c r="G88" s="43" t="s">
        <v>1967</v>
      </c>
      <c r="H88" s="41">
        <v>0.56000000000000005</v>
      </c>
      <c r="I88" s="83">
        <v>1.2985134741811661</v>
      </c>
      <c r="J88" s="65" t="s">
        <v>276</v>
      </c>
      <c r="K88" s="527"/>
      <c r="L88" s="57">
        <v>5.3999999999999999E-2</v>
      </c>
      <c r="M88" s="65" t="s">
        <v>276</v>
      </c>
      <c r="N88" s="525"/>
      <c r="O88" s="32" t="s">
        <v>1945</v>
      </c>
      <c r="P88" s="237" t="s">
        <v>256</v>
      </c>
      <c r="Q88" s="87"/>
      <c r="S88" s="32" t="s">
        <v>1958</v>
      </c>
      <c r="T88" s="32" t="s">
        <v>1674</v>
      </c>
      <c r="U88" s="33" t="s">
        <v>255</v>
      </c>
      <c r="V88" s="32" t="s">
        <v>256</v>
      </c>
      <c r="W88" s="32" t="s">
        <v>1674</v>
      </c>
      <c r="X88" s="516"/>
      <c r="Y88" s="132" t="s">
        <v>276</v>
      </c>
      <c r="Z88" s="133">
        <v>39375</v>
      </c>
      <c r="AA88" s="142" t="s">
        <v>1946</v>
      </c>
      <c r="AB88" s="239" t="s">
        <v>256</v>
      </c>
      <c r="AC88" s="69"/>
    </row>
    <row r="89" spans="2:29" ht="12.75">
      <c r="B89" s="44" t="s">
        <v>1958</v>
      </c>
      <c r="C89" s="44" t="s">
        <v>1674</v>
      </c>
      <c r="D89" s="45" t="s">
        <v>255</v>
      </c>
      <c r="E89" s="44" t="s">
        <v>256</v>
      </c>
      <c r="F89" s="44" t="s">
        <v>1673</v>
      </c>
      <c r="G89" s="46" t="s">
        <v>1968</v>
      </c>
      <c r="H89" s="44">
        <v>0.56000000000000005</v>
      </c>
      <c r="I89" s="83">
        <v>1.0234366287281598</v>
      </c>
      <c r="J89" s="80" t="s">
        <v>274</v>
      </c>
      <c r="K89" s="510">
        <v>1.0193449865833717</v>
      </c>
      <c r="L89" s="57">
        <v>5.3999999999999999E-2</v>
      </c>
      <c r="M89" s="80" t="s">
        <v>274</v>
      </c>
      <c r="N89" s="526" t="s">
        <v>1959</v>
      </c>
      <c r="O89" s="35" t="s">
        <v>1523</v>
      </c>
      <c r="P89" s="235" t="s">
        <v>275</v>
      </c>
      <c r="Q89" s="86"/>
      <c r="S89" s="32" t="s">
        <v>1958</v>
      </c>
      <c r="T89" s="35" t="s">
        <v>1674</v>
      </c>
      <c r="U89" s="36" t="s">
        <v>255</v>
      </c>
      <c r="V89" s="35" t="s">
        <v>256</v>
      </c>
      <c r="W89" s="35" t="s">
        <v>1673</v>
      </c>
      <c r="X89" s="515">
        <v>35000</v>
      </c>
      <c r="Y89" s="149" t="s">
        <v>274</v>
      </c>
      <c r="Z89" s="150">
        <v>26250</v>
      </c>
      <c r="AA89" s="141" t="s">
        <v>1943</v>
      </c>
      <c r="AB89" s="238" t="s">
        <v>275</v>
      </c>
      <c r="AC89" s="69"/>
    </row>
    <row r="90" spans="2:29" ht="12.75">
      <c r="B90" s="44" t="s">
        <v>1958</v>
      </c>
      <c r="C90" s="44" t="s">
        <v>1674</v>
      </c>
      <c r="D90" s="45" t="s">
        <v>255</v>
      </c>
      <c r="E90" s="44" t="s">
        <v>256</v>
      </c>
      <c r="F90" s="44" t="s">
        <v>1673</v>
      </c>
      <c r="G90" s="46" t="s">
        <v>1968</v>
      </c>
      <c r="H90" s="44">
        <v>0.56000000000000005</v>
      </c>
      <c r="I90" s="83">
        <v>1.0234366287281598</v>
      </c>
      <c r="J90" s="80" t="s">
        <v>276</v>
      </c>
      <c r="K90" s="510"/>
      <c r="L90" s="57">
        <v>5.3999999999999999E-2</v>
      </c>
      <c r="M90" s="80" t="s">
        <v>274</v>
      </c>
      <c r="N90" s="526"/>
      <c r="O90" s="35" t="s">
        <v>1944</v>
      </c>
      <c r="P90" s="236" t="s">
        <v>277</v>
      </c>
      <c r="Q90" s="87"/>
      <c r="S90" s="32" t="s">
        <v>1958</v>
      </c>
      <c r="T90" s="35" t="s">
        <v>1674</v>
      </c>
      <c r="U90" s="36" t="s">
        <v>255</v>
      </c>
      <c r="V90" s="35" t="s">
        <v>256</v>
      </c>
      <c r="W90" s="35" t="s">
        <v>1673</v>
      </c>
      <c r="X90" s="515"/>
      <c r="Y90" s="151" t="s">
        <v>276</v>
      </c>
      <c r="Z90" s="152">
        <v>26250</v>
      </c>
      <c r="AA90" s="508" t="s">
        <v>1944</v>
      </c>
      <c r="AB90" s="490" t="s">
        <v>277</v>
      </c>
      <c r="AC90" s="69"/>
    </row>
    <row r="91" spans="2:29" ht="12.75">
      <c r="B91" s="44" t="s">
        <v>1958</v>
      </c>
      <c r="C91" s="44" t="s">
        <v>1674</v>
      </c>
      <c r="D91" s="45" t="s">
        <v>255</v>
      </c>
      <c r="E91" s="44" t="s">
        <v>256</v>
      </c>
      <c r="F91" s="44" t="s">
        <v>1673</v>
      </c>
      <c r="G91" s="46" t="s">
        <v>1968</v>
      </c>
      <c r="H91" s="44">
        <v>0.56000000000000005</v>
      </c>
      <c r="I91" s="83">
        <v>1.0234366287281598</v>
      </c>
      <c r="J91" s="80" t="s">
        <v>274</v>
      </c>
      <c r="K91" s="510"/>
      <c r="L91" s="57">
        <v>5.3999999999999999E-2</v>
      </c>
      <c r="M91" s="80" t="s">
        <v>276</v>
      </c>
      <c r="N91" s="526"/>
      <c r="O91" s="35" t="s">
        <v>1944</v>
      </c>
      <c r="P91" s="236" t="s">
        <v>277</v>
      </c>
      <c r="Q91" s="87"/>
      <c r="S91" s="32" t="s">
        <v>1958</v>
      </c>
      <c r="T91" s="35" t="s">
        <v>1674</v>
      </c>
      <c r="U91" s="36" t="s">
        <v>255</v>
      </c>
      <c r="V91" s="35" t="s">
        <v>256</v>
      </c>
      <c r="W91" s="35" t="s">
        <v>1673</v>
      </c>
      <c r="X91" s="515"/>
      <c r="Y91" s="153" t="s">
        <v>274</v>
      </c>
      <c r="Z91" s="154">
        <v>43750</v>
      </c>
      <c r="AA91" s="508"/>
      <c r="AB91" s="490"/>
      <c r="AC91" s="69"/>
    </row>
    <row r="92" spans="2:29" ht="12.75">
      <c r="B92" s="44" t="s">
        <v>1958</v>
      </c>
      <c r="C92" s="44" t="s">
        <v>1674</v>
      </c>
      <c r="D92" s="45" t="s">
        <v>255</v>
      </c>
      <c r="E92" s="44" t="s">
        <v>256</v>
      </c>
      <c r="F92" s="44" t="s">
        <v>1673</v>
      </c>
      <c r="G92" s="46" t="s">
        <v>1968</v>
      </c>
      <c r="H92" s="44">
        <v>0.56000000000000005</v>
      </c>
      <c r="I92" s="83">
        <v>1.0234366287281598</v>
      </c>
      <c r="J92" s="80" t="s">
        <v>276</v>
      </c>
      <c r="K92" s="510"/>
      <c r="L92" s="57">
        <v>5.3999999999999999E-2</v>
      </c>
      <c r="M92" s="80" t="s">
        <v>276</v>
      </c>
      <c r="N92" s="526"/>
      <c r="O92" s="35" t="s">
        <v>1945</v>
      </c>
      <c r="P92" s="237" t="s">
        <v>256</v>
      </c>
      <c r="Q92" s="87"/>
      <c r="S92" s="32" t="s">
        <v>1958</v>
      </c>
      <c r="T92" s="35" t="s">
        <v>1674</v>
      </c>
      <c r="U92" s="36" t="s">
        <v>255</v>
      </c>
      <c r="V92" s="35" t="s">
        <v>256</v>
      </c>
      <c r="W92" s="35" t="s">
        <v>1673</v>
      </c>
      <c r="X92" s="515"/>
      <c r="Y92" s="149" t="s">
        <v>276</v>
      </c>
      <c r="Z92" s="150">
        <v>43750</v>
      </c>
      <c r="AA92" s="141" t="s">
        <v>1946</v>
      </c>
      <c r="AB92" s="239" t="s">
        <v>256</v>
      </c>
      <c r="AC92" s="69"/>
    </row>
    <row r="93" spans="2:29" ht="12.75">
      <c r="B93" s="41" t="s">
        <v>1958</v>
      </c>
      <c r="C93" s="41" t="s">
        <v>1674</v>
      </c>
      <c r="D93" s="42" t="s">
        <v>257</v>
      </c>
      <c r="E93" s="41" t="s">
        <v>256</v>
      </c>
      <c r="F93" s="41" t="s">
        <v>1674</v>
      </c>
      <c r="G93" s="43" t="s">
        <v>1969</v>
      </c>
      <c r="H93" s="41">
        <v>0.56000000000000005</v>
      </c>
      <c r="I93" s="83">
        <v>0.60480376189923679</v>
      </c>
      <c r="J93" s="65" t="s">
        <v>274</v>
      </c>
      <c r="K93" s="527">
        <v>1.0193449865833717</v>
      </c>
      <c r="L93" s="57">
        <v>0.04</v>
      </c>
      <c r="M93" s="65" t="s">
        <v>274</v>
      </c>
      <c r="N93" s="525" t="s">
        <v>1959</v>
      </c>
      <c r="O93" s="32" t="s">
        <v>1523</v>
      </c>
      <c r="P93" s="235" t="s">
        <v>275</v>
      </c>
      <c r="Q93" s="86"/>
      <c r="S93" s="32" t="s">
        <v>1958</v>
      </c>
      <c r="T93" s="32" t="s">
        <v>1674</v>
      </c>
      <c r="U93" s="33" t="s">
        <v>257</v>
      </c>
      <c r="V93" s="32" t="s">
        <v>256</v>
      </c>
      <c r="W93" s="32" t="s">
        <v>1674</v>
      </c>
      <c r="X93" s="516">
        <v>22500</v>
      </c>
      <c r="Y93" s="132" t="s">
        <v>274</v>
      </c>
      <c r="Z93" s="133">
        <v>16875</v>
      </c>
      <c r="AA93" s="142" t="s">
        <v>1943</v>
      </c>
      <c r="AB93" s="238" t="s">
        <v>275</v>
      </c>
      <c r="AC93" s="69"/>
    </row>
    <row r="94" spans="2:29" ht="12.75">
      <c r="B94" s="41" t="s">
        <v>1958</v>
      </c>
      <c r="C94" s="41" t="s">
        <v>1674</v>
      </c>
      <c r="D94" s="42" t="s">
        <v>257</v>
      </c>
      <c r="E94" s="41" t="s">
        <v>256</v>
      </c>
      <c r="F94" s="41" t="s">
        <v>1674</v>
      </c>
      <c r="G94" s="43" t="s">
        <v>1969</v>
      </c>
      <c r="H94" s="41">
        <v>0.56000000000000005</v>
      </c>
      <c r="I94" s="83">
        <v>0.60480376189923679</v>
      </c>
      <c r="J94" s="65" t="s">
        <v>276</v>
      </c>
      <c r="K94" s="527"/>
      <c r="L94" s="57">
        <v>0.04</v>
      </c>
      <c r="M94" s="65" t="s">
        <v>274</v>
      </c>
      <c r="N94" s="525"/>
      <c r="O94" s="32" t="s">
        <v>1944</v>
      </c>
      <c r="P94" s="236" t="s">
        <v>277</v>
      </c>
      <c r="Q94" s="87"/>
      <c r="S94" s="32" t="s">
        <v>1958</v>
      </c>
      <c r="T94" s="32" t="s">
        <v>1674</v>
      </c>
      <c r="U94" s="33" t="s">
        <v>257</v>
      </c>
      <c r="V94" s="32" t="s">
        <v>256</v>
      </c>
      <c r="W94" s="32" t="s">
        <v>1674</v>
      </c>
      <c r="X94" s="516"/>
      <c r="Y94" s="134" t="s">
        <v>276</v>
      </c>
      <c r="Z94" s="135">
        <v>16875</v>
      </c>
      <c r="AA94" s="507" t="s">
        <v>1944</v>
      </c>
      <c r="AB94" s="490" t="s">
        <v>277</v>
      </c>
      <c r="AC94" s="69"/>
    </row>
    <row r="95" spans="2:29" ht="12.75">
      <c r="B95" s="41" t="s">
        <v>1958</v>
      </c>
      <c r="C95" s="41" t="s">
        <v>1674</v>
      </c>
      <c r="D95" s="42" t="s">
        <v>257</v>
      </c>
      <c r="E95" s="41" t="s">
        <v>256</v>
      </c>
      <c r="F95" s="41" t="s">
        <v>1674</v>
      </c>
      <c r="G95" s="43" t="s">
        <v>1969</v>
      </c>
      <c r="H95" s="41">
        <v>0.56000000000000005</v>
      </c>
      <c r="I95" s="83">
        <v>0.60480376189923679</v>
      </c>
      <c r="J95" s="65" t="s">
        <v>274</v>
      </c>
      <c r="K95" s="527"/>
      <c r="L95" s="57">
        <v>0.04</v>
      </c>
      <c r="M95" s="65" t="s">
        <v>276</v>
      </c>
      <c r="N95" s="525"/>
      <c r="O95" s="32" t="s">
        <v>1944</v>
      </c>
      <c r="P95" s="236" t="s">
        <v>277</v>
      </c>
      <c r="Q95" s="87"/>
      <c r="S95" s="32" t="s">
        <v>1958</v>
      </c>
      <c r="T95" s="32" t="s">
        <v>1674</v>
      </c>
      <c r="U95" s="33" t="s">
        <v>257</v>
      </c>
      <c r="V95" s="32" t="s">
        <v>256</v>
      </c>
      <c r="W95" s="32" t="s">
        <v>1674</v>
      </c>
      <c r="X95" s="516"/>
      <c r="Y95" s="136" t="s">
        <v>274</v>
      </c>
      <c r="Z95" s="137">
        <v>28125</v>
      </c>
      <c r="AA95" s="507"/>
      <c r="AB95" s="490"/>
      <c r="AC95" s="69"/>
    </row>
    <row r="96" spans="2:29" ht="12.75">
      <c r="B96" s="41" t="s">
        <v>1958</v>
      </c>
      <c r="C96" s="41" t="s">
        <v>1674</v>
      </c>
      <c r="D96" s="42" t="s">
        <v>257</v>
      </c>
      <c r="E96" s="41" t="s">
        <v>256</v>
      </c>
      <c r="F96" s="41" t="s">
        <v>1674</v>
      </c>
      <c r="G96" s="43" t="s">
        <v>1969</v>
      </c>
      <c r="H96" s="41">
        <v>0.56000000000000005</v>
      </c>
      <c r="I96" s="83">
        <v>0.60480376189923679</v>
      </c>
      <c r="J96" s="65" t="s">
        <v>276</v>
      </c>
      <c r="K96" s="527"/>
      <c r="L96" s="57">
        <v>0.04</v>
      </c>
      <c r="M96" s="65" t="s">
        <v>276</v>
      </c>
      <c r="N96" s="525"/>
      <c r="O96" s="32" t="s">
        <v>1945</v>
      </c>
      <c r="P96" s="237" t="s">
        <v>256</v>
      </c>
      <c r="Q96" s="87"/>
      <c r="S96" s="32" t="s">
        <v>1958</v>
      </c>
      <c r="T96" s="32" t="s">
        <v>1674</v>
      </c>
      <c r="U96" s="33" t="s">
        <v>257</v>
      </c>
      <c r="V96" s="32" t="s">
        <v>256</v>
      </c>
      <c r="W96" s="32" t="s">
        <v>1674</v>
      </c>
      <c r="X96" s="516"/>
      <c r="Y96" s="132" t="s">
        <v>276</v>
      </c>
      <c r="Z96" s="133">
        <v>28125</v>
      </c>
      <c r="AA96" s="142" t="s">
        <v>1946</v>
      </c>
      <c r="AB96" s="239" t="s">
        <v>256</v>
      </c>
      <c r="AC96" s="69"/>
    </row>
    <row r="97" spans="1:29" ht="12.75">
      <c r="B97" s="47" t="s">
        <v>1958</v>
      </c>
      <c r="C97" s="47" t="s">
        <v>1674</v>
      </c>
      <c r="D97" s="48" t="s">
        <v>257</v>
      </c>
      <c r="E97" s="47" t="s">
        <v>256</v>
      </c>
      <c r="F97" s="47" t="s">
        <v>1673</v>
      </c>
      <c r="G97" s="49" t="s">
        <v>1970</v>
      </c>
      <c r="H97" s="44">
        <v>0.56000000000000005</v>
      </c>
      <c r="I97" s="83">
        <v>0.47609130829862606</v>
      </c>
      <c r="J97" s="80" t="s">
        <v>274</v>
      </c>
      <c r="K97" s="510">
        <v>1.0193449865833717</v>
      </c>
      <c r="L97" s="57">
        <v>0.04</v>
      </c>
      <c r="M97" s="80" t="s">
        <v>274</v>
      </c>
      <c r="N97" s="526" t="s">
        <v>1959</v>
      </c>
      <c r="O97" s="35" t="s">
        <v>1523</v>
      </c>
      <c r="P97" s="235" t="s">
        <v>275</v>
      </c>
      <c r="Q97" s="86"/>
      <c r="S97" s="32" t="s">
        <v>1958</v>
      </c>
      <c r="T97" s="35" t="s">
        <v>1674</v>
      </c>
      <c r="U97" s="36" t="s">
        <v>257</v>
      </c>
      <c r="V97" s="35" t="s">
        <v>256</v>
      </c>
      <c r="W97" s="35" t="s">
        <v>1673</v>
      </c>
      <c r="X97" s="515">
        <v>25000</v>
      </c>
      <c r="Y97" s="149" t="s">
        <v>274</v>
      </c>
      <c r="Z97" s="150">
        <v>18750</v>
      </c>
      <c r="AA97" s="141" t="s">
        <v>1943</v>
      </c>
      <c r="AB97" s="238" t="s">
        <v>275</v>
      </c>
      <c r="AC97" s="69"/>
    </row>
    <row r="98" spans="1:29" ht="12.75">
      <c r="B98" s="47" t="s">
        <v>1958</v>
      </c>
      <c r="C98" s="47" t="s">
        <v>1674</v>
      </c>
      <c r="D98" s="48" t="s">
        <v>257</v>
      </c>
      <c r="E98" s="47" t="s">
        <v>256</v>
      </c>
      <c r="F98" s="47" t="s">
        <v>1673</v>
      </c>
      <c r="G98" s="49" t="s">
        <v>1970</v>
      </c>
      <c r="H98" s="44">
        <v>0.56000000000000005</v>
      </c>
      <c r="I98" s="83">
        <v>0.47609130829862606</v>
      </c>
      <c r="J98" s="80" t="s">
        <v>276</v>
      </c>
      <c r="K98" s="510"/>
      <c r="L98" s="57">
        <v>0.04</v>
      </c>
      <c r="M98" s="80" t="s">
        <v>274</v>
      </c>
      <c r="N98" s="526"/>
      <c r="O98" s="35" t="s">
        <v>1944</v>
      </c>
      <c r="P98" s="236" t="s">
        <v>277</v>
      </c>
      <c r="Q98" s="87"/>
      <c r="S98" s="32" t="s">
        <v>1958</v>
      </c>
      <c r="T98" s="35" t="s">
        <v>1674</v>
      </c>
      <c r="U98" s="36" t="s">
        <v>257</v>
      </c>
      <c r="V98" s="35" t="s">
        <v>256</v>
      </c>
      <c r="W98" s="35" t="s">
        <v>1673</v>
      </c>
      <c r="X98" s="515"/>
      <c r="Y98" s="151" t="s">
        <v>276</v>
      </c>
      <c r="Z98" s="152">
        <v>18750</v>
      </c>
      <c r="AA98" s="508" t="s">
        <v>1944</v>
      </c>
      <c r="AB98" s="490" t="s">
        <v>277</v>
      </c>
      <c r="AC98" s="69"/>
    </row>
    <row r="99" spans="1:29" ht="12.75">
      <c r="B99" s="47" t="s">
        <v>1958</v>
      </c>
      <c r="C99" s="47" t="s">
        <v>1674</v>
      </c>
      <c r="D99" s="48" t="s">
        <v>257</v>
      </c>
      <c r="E99" s="47" t="s">
        <v>256</v>
      </c>
      <c r="F99" s="47" t="s">
        <v>1673</v>
      </c>
      <c r="G99" s="49" t="s">
        <v>1970</v>
      </c>
      <c r="H99" s="44">
        <v>0.56000000000000005</v>
      </c>
      <c r="I99" s="83">
        <v>0.47609130829862606</v>
      </c>
      <c r="J99" s="80" t="s">
        <v>274</v>
      </c>
      <c r="K99" s="510"/>
      <c r="L99" s="57">
        <v>0.04</v>
      </c>
      <c r="M99" s="80" t="s">
        <v>276</v>
      </c>
      <c r="N99" s="526"/>
      <c r="O99" s="35" t="s">
        <v>1944</v>
      </c>
      <c r="P99" s="236" t="s">
        <v>277</v>
      </c>
      <c r="Q99" s="87"/>
      <c r="S99" s="32" t="s">
        <v>1958</v>
      </c>
      <c r="T99" s="35" t="s">
        <v>1674</v>
      </c>
      <c r="U99" s="36" t="s">
        <v>257</v>
      </c>
      <c r="V99" s="35" t="s">
        <v>256</v>
      </c>
      <c r="W99" s="35" t="s">
        <v>1673</v>
      </c>
      <c r="X99" s="515"/>
      <c r="Y99" s="153" t="s">
        <v>274</v>
      </c>
      <c r="Z99" s="154">
        <v>31250</v>
      </c>
      <c r="AA99" s="508"/>
      <c r="AB99" s="490"/>
      <c r="AC99" s="69"/>
    </row>
    <row r="100" spans="1:29" ht="12.75">
      <c r="B100" s="47" t="s">
        <v>1958</v>
      </c>
      <c r="C100" s="47" t="s">
        <v>1674</v>
      </c>
      <c r="D100" s="48" t="s">
        <v>257</v>
      </c>
      <c r="E100" s="47" t="s">
        <v>256</v>
      </c>
      <c r="F100" s="47" t="s">
        <v>1673</v>
      </c>
      <c r="G100" s="49" t="s">
        <v>1970</v>
      </c>
      <c r="H100" s="44">
        <v>0.56000000000000005</v>
      </c>
      <c r="I100" s="83">
        <v>0.47609130829862606</v>
      </c>
      <c r="J100" s="80" t="s">
        <v>276</v>
      </c>
      <c r="K100" s="510"/>
      <c r="L100" s="57">
        <v>0.04</v>
      </c>
      <c r="M100" s="80" t="s">
        <v>276</v>
      </c>
      <c r="N100" s="526"/>
      <c r="O100" s="35" t="s">
        <v>1945</v>
      </c>
      <c r="P100" s="237" t="s">
        <v>256</v>
      </c>
      <c r="Q100" s="87"/>
      <c r="S100" s="32" t="s">
        <v>1958</v>
      </c>
      <c r="T100" s="35" t="s">
        <v>1674</v>
      </c>
      <c r="U100" s="36" t="s">
        <v>257</v>
      </c>
      <c r="V100" s="35" t="s">
        <v>256</v>
      </c>
      <c r="W100" s="35" t="s">
        <v>1673</v>
      </c>
      <c r="X100" s="515"/>
      <c r="Y100" s="149" t="s">
        <v>276</v>
      </c>
      <c r="Z100" s="150">
        <v>31250</v>
      </c>
      <c r="AA100" s="141" t="s">
        <v>1946</v>
      </c>
      <c r="AB100" s="239" t="s">
        <v>256</v>
      </c>
      <c r="AC100" s="69"/>
    </row>
    <row r="102" spans="1:29" ht="12.75" thickBot="1"/>
    <row r="103" spans="1:29" ht="90.75" thickBot="1">
      <c r="A103" s="385" t="s">
        <v>2073</v>
      </c>
      <c r="B103" s="40" t="s">
        <v>278</v>
      </c>
      <c r="C103" s="118" t="s">
        <v>1562</v>
      </c>
      <c r="D103" s="118" t="s">
        <v>279</v>
      </c>
      <c r="E103" s="118" t="s">
        <v>280</v>
      </c>
      <c r="F103" s="40" t="s">
        <v>281</v>
      </c>
      <c r="G103" s="118" t="s">
        <v>282</v>
      </c>
      <c r="H103" s="40" t="s">
        <v>283</v>
      </c>
      <c r="I103" s="40" t="s">
        <v>284</v>
      </c>
      <c r="J103" s="121" t="s">
        <v>1577</v>
      </c>
      <c r="K103" s="119"/>
      <c r="L103" s="120" t="s">
        <v>285</v>
      </c>
      <c r="M103" s="121" t="s">
        <v>1578</v>
      </c>
      <c r="N103" s="119"/>
      <c r="O103" s="120" t="s">
        <v>286</v>
      </c>
      <c r="P103" s="493" t="s">
        <v>2091</v>
      </c>
      <c r="Q103" s="493"/>
      <c r="S103" s="40" t="s">
        <v>287</v>
      </c>
      <c r="T103" s="118" t="s">
        <v>288</v>
      </c>
      <c r="U103" s="118" t="s">
        <v>289</v>
      </c>
      <c r="V103" s="40" t="s">
        <v>290</v>
      </c>
      <c r="W103" s="40" t="s">
        <v>291</v>
      </c>
      <c r="X103" s="118" t="s">
        <v>292</v>
      </c>
      <c r="Y103" s="140" t="s">
        <v>293</v>
      </c>
      <c r="Z103" s="500" t="s">
        <v>294</v>
      </c>
      <c r="AA103" s="500"/>
      <c r="AB103" s="505" t="s">
        <v>2090</v>
      </c>
      <c r="AC103" s="505"/>
    </row>
    <row r="104" spans="1:29" ht="12.75">
      <c r="B104" s="57" t="s">
        <v>1972</v>
      </c>
      <c r="C104" s="57" t="s">
        <v>1973</v>
      </c>
      <c r="D104" s="58" t="s">
        <v>1674</v>
      </c>
      <c r="E104" s="57" t="s">
        <v>1674</v>
      </c>
      <c r="F104" s="57" t="s">
        <v>1674</v>
      </c>
      <c r="G104" s="57" t="s">
        <v>1778</v>
      </c>
      <c r="H104" s="59" t="s">
        <v>1974</v>
      </c>
      <c r="I104" s="57">
        <v>0.85</v>
      </c>
      <c r="J104" s="78">
        <v>2.1478428085566503</v>
      </c>
      <c r="K104" s="84" t="s">
        <v>274</v>
      </c>
      <c r="L104" s="524">
        <v>1.6401708719887149</v>
      </c>
      <c r="M104" s="62">
        <v>6.3E-2</v>
      </c>
      <c r="N104" s="84" t="s">
        <v>274</v>
      </c>
      <c r="O104" s="522" t="s">
        <v>1975</v>
      </c>
      <c r="P104" s="57" t="s">
        <v>1523</v>
      </c>
      <c r="Q104" s="235" t="s">
        <v>275</v>
      </c>
      <c r="S104" s="57" t="s">
        <v>1972</v>
      </c>
      <c r="T104" s="57" t="s">
        <v>1973</v>
      </c>
      <c r="U104" s="58" t="s">
        <v>1674</v>
      </c>
      <c r="V104" s="57" t="s">
        <v>1674</v>
      </c>
      <c r="W104" s="57" t="s">
        <v>1674</v>
      </c>
      <c r="X104" s="57" t="s">
        <v>1778</v>
      </c>
      <c r="Y104" s="504">
        <v>6000</v>
      </c>
      <c r="Z104" s="143" t="s">
        <v>274</v>
      </c>
      <c r="AA104" s="144">
        <v>4500</v>
      </c>
      <c r="AB104" s="57" t="s">
        <v>1943</v>
      </c>
      <c r="AC104" s="238" t="s">
        <v>275</v>
      </c>
    </row>
    <row r="105" spans="1:29" ht="12.75">
      <c r="B105" s="57" t="s">
        <v>1972</v>
      </c>
      <c r="C105" s="57" t="s">
        <v>1973</v>
      </c>
      <c r="D105" s="58" t="s">
        <v>1674</v>
      </c>
      <c r="E105" s="57" t="s">
        <v>1674</v>
      </c>
      <c r="F105" s="57" t="s">
        <v>1674</v>
      </c>
      <c r="G105" s="57" t="s">
        <v>1778</v>
      </c>
      <c r="H105" s="59" t="s">
        <v>1974</v>
      </c>
      <c r="I105" s="57">
        <v>0.85</v>
      </c>
      <c r="J105" s="78">
        <v>2.1478428085566503</v>
      </c>
      <c r="K105" s="84" t="s">
        <v>276</v>
      </c>
      <c r="L105" s="524"/>
      <c r="M105" s="62">
        <v>6.3E-2</v>
      </c>
      <c r="N105" s="84" t="s">
        <v>274</v>
      </c>
      <c r="O105" s="522"/>
      <c r="P105" s="57" t="s">
        <v>1944</v>
      </c>
      <c r="Q105" s="236" t="s">
        <v>277</v>
      </c>
      <c r="S105" s="57" t="s">
        <v>1972</v>
      </c>
      <c r="T105" s="57" t="s">
        <v>1973</v>
      </c>
      <c r="U105" s="58" t="s">
        <v>1674</v>
      </c>
      <c r="V105" s="57" t="s">
        <v>1674</v>
      </c>
      <c r="W105" s="57" t="s">
        <v>1674</v>
      </c>
      <c r="X105" s="57" t="s">
        <v>1778</v>
      </c>
      <c r="Y105" s="504"/>
      <c r="Z105" s="145" t="s">
        <v>276</v>
      </c>
      <c r="AA105" s="146">
        <v>4500</v>
      </c>
      <c r="AB105" s="506" t="s">
        <v>1944</v>
      </c>
      <c r="AC105" s="490" t="s">
        <v>277</v>
      </c>
    </row>
    <row r="106" spans="1:29" ht="12.75">
      <c r="B106" s="57" t="s">
        <v>1972</v>
      </c>
      <c r="C106" s="57" t="s">
        <v>1973</v>
      </c>
      <c r="D106" s="58" t="s">
        <v>1674</v>
      </c>
      <c r="E106" s="57" t="s">
        <v>1674</v>
      </c>
      <c r="F106" s="57" t="s">
        <v>1674</v>
      </c>
      <c r="G106" s="57" t="s">
        <v>1778</v>
      </c>
      <c r="H106" s="59" t="s">
        <v>1974</v>
      </c>
      <c r="I106" s="57">
        <v>0.85</v>
      </c>
      <c r="J106" s="78">
        <v>2.1478428085566503</v>
      </c>
      <c r="K106" s="84" t="s">
        <v>274</v>
      </c>
      <c r="L106" s="524"/>
      <c r="M106" s="62">
        <v>6.3E-2</v>
      </c>
      <c r="N106" s="84" t="s">
        <v>276</v>
      </c>
      <c r="O106" s="522"/>
      <c r="P106" s="57" t="s">
        <v>1944</v>
      </c>
      <c r="Q106" s="236" t="s">
        <v>277</v>
      </c>
      <c r="S106" s="57" t="s">
        <v>1972</v>
      </c>
      <c r="T106" s="57" t="s">
        <v>1973</v>
      </c>
      <c r="U106" s="58" t="s">
        <v>1674</v>
      </c>
      <c r="V106" s="57" t="s">
        <v>1674</v>
      </c>
      <c r="W106" s="57" t="s">
        <v>1674</v>
      </c>
      <c r="X106" s="57" t="s">
        <v>1778</v>
      </c>
      <c r="Y106" s="504"/>
      <c r="Z106" s="147" t="s">
        <v>274</v>
      </c>
      <c r="AA106" s="148">
        <v>7500</v>
      </c>
      <c r="AB106" s="506"/>
      <c r="AC106" s="490"/>
    </row>
    <row r="107" spans="1:29" ht="12.75">
      <c r="B107" s="57" t="s">
        <v>1972</v>
      </c>
      <c r="C107" s="57" t="s">
        <v>1973</v>
      </c>
      <c r="D107" s="58" t="s">
        <v>1674</v>
      </c>
      <c r="E107" s="57" t="s">
        <v>1674</v>
      </c>
      <c r="F107" s="57" t="s">
        <v>1674</v>
      </c>
      <c r="G107" s="57" t="s">
        <v>1778</v>
      </c>
      <c r="H107" s="59" t="s">
        <v>1974</v>
      </c>
      <c r="I107" s="57">
        <v>0.85</v>
      </c>
      <c r="J107" s="78">
        <v>2.1478428085566503</v>
      </c>
      <c r="K107" s="84" t="s">
        <v>276</v>
      </c>
      <c r="L107" s="524"/>
      <c r="M107" s="62">
        <v>6.3E-2</v>
      </c>
      <c r="N107" s="84" t="s">
        <v>276</v>
      </c>
      <c r="O107" s="522"/>
      <c r="P107" s="57" t="s">
        <v>1945</v>
      </c>
      <c r="Q107" s="237" t="s">
        <v>256</v>
      </c>
      <c r="S107" s="57" t="s">
        <v>1972</v>
      </c>
      <c r="T107" s="57" t="s">
        <v>1973</v>
      </c>
      <c r="U107" s="58" t="s">
        <v>1674</v>
      </c>
      <c r="V107" s="57" t="s">
        <v>1674</v>
      </c>
      <c r="W107" s="57" t="s">
        <v>1674</v>
      </c>
      <c r="X107" s="57" t="s">
        <v>1778</v>
      </c>
      <c r="Y107" s="504"/>
      <c r="Z107" s="143" t="s">
        <v>276</v>
      </c>
      <c r="AA107" s="144">
        <v>7500</v>
      </c>
      <c r="AB107" s="57" t="s">
        <v>1946</v>
      </c>
      <c r="AC107" s="239" t="s">
        <v>256</v>
      </c>
    </row>
    <row r="108" spans="1:29" ht="12.75">
      <c r="B108" s="47" t="s">
        <v>1972</v>
      </c>
      <c r="C108" s="47" t="s">
        <v>1973</v>
      </c>
      <c r="D108" s="48" t="s">
        <v>1674</v>
      </c>
      <c r="E108" s="47" t="s">
        <v>1674</v>
      </c>
      <c r="F108" s="47" t="s">
        <v>1674</v>
      </c>
      <c r="G108" s="47" t="s">
        <v>1781</v>
      </c>
      <c r="H108" s="49" t="s">
        <v>1976</v>
      </c>
      <c r="I108" s="47">
        <v>0.85</v>
      </c>
      <c r="J108" s="78">
        <v>1.7983556801449159</v>
      </c>
      <c r="K108" s="80" t="s">
        <v>274</v>
      </c>
      <c r="L108" s="510">
        <v>1.6401708719887149</v>
      </c>
      <c r="M108" s="62">
        <v>7.0000000000000007E-2</v>
      </c>
      <c r="N108" s="80" t="s">
        <v>274</v>
      </c>
      <c r="O108" s="513" t="s">
        <v>1975</v>
      </c>
      <c r="P108" s="35" t="s">
        <v>1523</v>
      </c>
      <c r="Q108" s="235" t="s">
        <v>275</v>
      </c>
      <c r="S108" s="35" t="s">
        <v>1972</v>
      </c>
      <c r="T108" s="35" t="s">
        <v>1973</v>
      </c>
      <c r="U108" s="36" t="s">
        <v>1674</v>
      </c>
      <c r="V108" s="35" t="s">
        <v>1674</v>
      </c>
      <c r="W108" s="35" t="s">
        <v>1674</v>
      </c>
      <c r="X108" s="35" t="s">
        <v>1781</v>
      </c>
      <c r="Y108" s="496">
        <v>4000</v>
      </c>
      <c r="Z108" s="149" t="s">
        <v>274</v>
      </c>
      <c r="AA108" s="150">
        <v>3000</v>
      </c>
      <c r="AB108" s="35" t="s">
        <v>1943</v>
      </c>
      <c r="AC108" s="238" t="s">
        <v>275</v>
      </c>
    </row>
    <row r="109" spans="1:29" ht="12.75">
      <c r="B109" s="47" t="s">
        <v>1972</v>
      </c>
      <c r="C109" s="47" t="s">
        <v>1973</v>
      </c>
      <c r="D109" s="48" t="s">
        <v>1674</v>
      </c>
      <c r="E109" s="47" t="s">
        <v>1674</v>
      </c>
      <c r="F109" s="47" t="s">
        <v>1674</v>
      </c>
      <c r="G109" s="47" t="s">
        <v>1781</v>
      </c>
      <c r="H109" s="49" t="s">
        <v>1976</v>
      </c>
      <c r="I109" s="47">
        <v>0.85</v>
      </c>
      <c r="J109" s="78">
        <v>1.7983556801449159</v>
      </c>
      <c r="K109" s="80" t="s">
        <v>276</v>
      </c>
      <c r="L109" s="510"/>
      <c r="M109" s="62">
        <v>7.0000000000000007E-2</v>
      </c>
      <c r="N109" s="80" t="s">
        <v>274</v>
      </c>
      <c r="O109" s="513"/>
      <c r="P109" s="35" t="s">
        <v>1944</v>
      </c>
      <c r="Q109" s="236" t="s">
        <v>277</v>
      </c>
      <c r="S109" s="35" t="s">
        <v>1972</v>
      </c>
      <c r="T109" s="35" t="s">
        <v>1973</v>
      </c>
      <c r="U109" s="36" t="s">
        <v>1674</v>
      </c>
      <c r="V109" s="35" t="s">
        <v>1674</v>
      </c>
      <c r="W109" s="35" t="s">
        <v>1674</v>
      </c>
      <c r="X109" s="35" t="s">
        <v>1781</v>
      </c>
      <c r="Y109" s="496"/>
      <c r="Z109" s="151" t="s">
        <v>276</v>
      </c>
      <c r="AA109" s="152">
        <v>3000</v>
      </c>
      <c r="AB109" s="491" t="s">
        <v>1944</v>
      </c>
      <c r="AC109" s="490" t="s">
        <v>277</v>
      </c>
    </row>
    <row r="110" spans="1:29" ht="12.75">
      <c r="B110" s="47" t="s">
        <v>1972</v>
      </c>
      <c r="C110" s="47" t="s">
        <v>1973</v>
      </c>
      <c r="D110" s="48" t="s">
        <v>1674</v>
      </c>
      <c r="E110" s="47" t="s">
        <v>1674</v>
      </c>
      <c r="F110" s="47" t="s">
        <v>1674</v>
      </c>
      <c r="G110" s="47" t="s">
        <v>1781</v>
      </c>
      <c r="H110" s="49">
        <v>1.5600000000000002E-3</v>
      </c>
      <c r="I110" s="47">
        <v>0.85</v>
      </c>
      <c r="J110" s="78">
        <v>1.7983556801449159</v>
      </c>
      <c r="K110" s="80" t="s">
        <v>274</v>
      </c>
      <c r="L110" s="510"/>
      <c r="M110" s="62">
        <v>7.0000000000000007E-2</v>
      </c>
      <c r="N110" s="80" t="s">
        <v>276</v>
      </c>
      <c r="O110" s="513"/>
      <c r="P110" s="35" t="s">
        <v>1944</v>
      </c>
      <c r="Q110" s="236" t="s">
        <v>277</v>
      </c>
      <c r="S110" s="35" t="s">
        <v>1972</v>
      </c>
      <c r="T110" s="35" t="s">
        <v>1973</v>
      </c>
      <c r="U110" s="36" t="s">
        <v>1674</v>
      </c>
      <c r="V110" s="35" t="s">
        <v>1674</v>
      </c>
      <c r="W110" s="35" t="s">
        <v>1674</v>
      </c>
      <c r="X110" s="35" t="s">
        <v>1781</v>
      </c>
      <c r="Y110" s="496"/>
      <c r="Z110" s="153" t="s">
        <v>274</v>
      </c>
      <c r="AA110" s="154">
        <v>5000</v>
      </c>
      <c r="AB110" s="491"/>
      <c r="AC110" s="490"/>
    </row>
    <row r="111" spans="1:29" ht="12.75">
      <c r="B111" s="47" t="s">
        <v>1972</v>
      </c>
      <c r="C111" s="47" t="s">
        <v>1973</v>
      </c>
      <c r="D111" s="48" t="s">
        <v>1674</v>
      </c>
      <c r="E111" s="47" t="s">
        <v>1674</v>
      </c>
      <c r="F111" s="47" t="s">
        <v>1674</v>
      </c>
      <c r="G111" s="47" t="s">
        <v>1781</v>
      </c>
      <c r="H111" s="49">
        <v>1.5600000000000002E-3</v>
      </c>
      <c r="I111" s="47">
        <v>0.85</v>
      </c>
      <c r="J111" s="78">
        <v>1.7983556801449159</v>
      </c>
      <c r="K111" s="80" t="s">
        <v>276</v>
      </c>
      <c r="L111" s="510"/>
      <c r="M111" s="62">
        <v>7.0000000000000007E-2</v>
      </c>
      <c r="N111" s="80" t="s">
        <v>276</v>
      </c>
      <c r="O111" s="513"/>
      <c r="P111" s="35" t="s">
        <v>1945</v>
      </c>
      <c r="Q111" s="237" t="s">
        <v>256</v>
      </c>
      <c r="S111" s="35" t="s">
        <v>1972</v>
      </c>
      <c r="T111" s="35" t="s">
        <v>1973</v>
      </c>
      <c r="U111" s="36" t="s">
        <v>1674</v>
      </c>
      <c r="V111" s="35" t="s">
        <v>1674</v>
      </c>
      <c r="W111" s="35" t="s">
        <v>1674</v>
      </c>
      <c r="X111" s="35" t="s">
        <v>1781</v>
      </c>
      <c r="Y111" s="496"/>
      <c r="Z111" s="149" t="s">
        <v>276</v>
      </c>
      <c r="AA111" s="150">
        <v>5000</v>
      </c>
      <c r="AB111" s="35" t="s">
        <v>1946</v>
      </c>
      <c r="AC111" s="239" t="s">
        <v>256</v>
      </c>
    </row>
    <row r="112" spans="1:29" ht="12.75">
      <c r="B112" s="57" t="s">
        <v>1972</v>
      </c>
      <c r="C112" s="57" t="s">
        <v>1973</v>
      </c>
      <c r="D112" s="58" t="s">
        <v>1674</v>
      </c>
      <c r="E112" s="57" t="s">
        <v>1674</v>
      </c>
      <c r="F112" s="57" t="s">
        <v>1674</v>
      </c>
      <c r="G112" s="57" t="s">
        <v>1799</v>
      </c>
      <c r="H112" s="59" t="s">
        <v>1977</v>
      </c>
      <c r="I112" s="57">
        <v>0.85</v>
      </c>
      <c r="J112" s="78">
        <v>2.5428995733166531</v>
      </c>
      <c r="K112" s="84" t="s">
        <v>274</v>
      </c>
      <c r="L112" s="524">
        <v>1.6401708719887149</v>
      </c>
      <c r="M112" s="62">
        <v>7.0000000000000007E-2</v>
      </c>
      <c r="N112" s="84" t="s">
        <v>274</v>
      </c>
      <c r="O112" s="522" t="s">
        <v>1975</v>
      </c>
      <c r="P112" s="57" t="s">
        <v>1523</v>
      </c>
      <c r="Q112" s="235" t="s">
        <v>275</v>
      </c>
      <c r="S112" s="57" t="s">
        <v>1972</v>
      </c>
      <c r="T112" s="57" t="s">
        <v>1973</v>
      </c>
      <c r="U112" s="58" t="s">
        <v>1674</v>
      </c>
      <c r="V112" s="57" t="s">
        <v>1674</v>
      </c>
      <c r="W112" s="57" t="s">
        <v>1674</v>
      </c>
      <c r="X112" s="57" t="s">
        <v>1799</v>
      </c>
      <c r="Y112" s="504">
        <v>6500</v>
      </c>
      <c r="Z112" s="143" t="s">
        <v>274</v>
      </c>
      <c r="AA112" s="144">
        <v>4875</v>
      </c>
      <c r="AB112" s="57" t="s">
        <v>1943</v>
      </c>
      <c r="AC112" s="238" t="s">
        <v>275</v>
      </c>
    </row>
    <row r="113" spans="2:29" ht="12.75">
      <c r="B113" s="57" t="s">
        <v>1972</v>
      </c>
      <c r="C113" s="57" t="s">
        <v>1973</v>
      </c>
      <c r="D113" s="58" t="s">
        <v>1674</v>
      </c>
      <c r="E113" s="57" t="s">
        <v>1674</v>
      </c>
      <c r="F113" s="57" t="s">
        <v>1674</v>
      </c>
      <c r="G113" s="57" t="s">
        <v>1799</v>
      </c>
      <c r="H113" s="59" t="s">
        <v>1977</v>
      </c>
      <c r="I113" s="57">
        <v>0.85</v>
      </c>
      <c r="J113" s="78">
        <v>2.5428995733166531</v>
      </c>
      <c r="K113" s="84" t="s">
        <v>276</v>
      </c>
      <c r="L113" s="524"/>
      <c r="M113" s="62">
        <v>7.0000000000000007E-2</v>
      </c>
      <c r="N113" s="84" t="s">
        <v>274</v>
      </c>
      <c r="O113" s="522"/>
      <c r="P113" s="57" t="s">
        <v>1944</v>
      </c>
      <c r="Q113" s="236" t="s">
        <v>277</v>
      </c>
      <c r="S113" s="57" t="s">
        <v>1972</v>
      </c>
      <c r="T113" s="57" t="s">
        <v>1973</v>
      </c>
      <c r="U113" s="58" t="s">
        <v>1674</v>
      </c>
      <c r="V113" s="57" t="s">
        <v>1674</v>
      </c>
      <c r="W113" s="57" t="s">
        <v>1674</v>
      </c>
      <c r="X113" s="57" t="s">
        <v>1799</v>
      </c>
      <c r="Y113" s="504"/>
      <c r="Z113" s="145" t="s">
        <v>276</v>
      </c>
      <c r="AA113" s="146">
        <v>4875</v>
      </c>
      <c r="AB113" s="506" t="s">
        <v>1944</v>
      </c>
      <c r="AC113" s="490" t="s">
        <v>277</v>
      </c>
    </row>
    <row r="114" spans="2:29" ht="12.75">
      <c r="B114" s="57" t="s">
        <v>1972</v>
      </c>
      <c r="C114" s="57" t="s">
        <v>1973</v>
      </c>
      <c r="D114" s="58" t="s">
        <v>1674</v>
      </c>
      <c r="E114" s="57" t="s">
        <v>1674</v>
      </c>
      <c r="F114" s="57" t="s">
        <v>1674</v>
      </c>
      <c r="G114" s="57" t="s">
        <v>1799</v>
      </c>
      <c r="H114" s="59">
        <v>1.4599999999999999E-3</v>
      </c>
      <c r="I114" s="57">
        <v>0.85</v>
      </c>
      <c r="J114" s="78">
        <v>2.5428995733166531</v>
      </c>
      <c r="K114" s="84" t="s">
        <v>274</v>
      </c>
      <c r="L114" s="524"/>
      <c r="M114" s="62">
        <v>7.0000000000000007E-2</v>
      </c>
      <c r="N114" s="84" t="s">
        <v>276</v>
      </c>
      <c r="O114" s="522"/>
      <c r="P114" s="57" t="s">
        <v>1944</v>
      </c>
      <c r="Q114" s="236" t="s">
        <v>277</v>
      </c>
      <c r="S114" s="57" t="s">
        <v>1972</v>
      </c>
      <c r="T114" s="57" t="s">
        <v>1973</v>
      </c>
      <c r="U114" s="58" t="s">
        <v>1674</v>
      </c>
      <c r="V114" s="57" t="s">
        <v>1674</v>
      </c>
      <c r="W114" s="57" t="s">
        <v>1674</v>
      </c>
      <c r="X114" s="57" t="s">
        <v>1799</v>
      </c>
      <c r="Y114" s="504"/>
      <c r="Z114" s="147" t="s">
        <v>274</v>
      </c>
      <c r="AA114" s="148">
        <v>8125</v>
      </c>
      <c r="AB114" s="506"/>
      <c r="AC114" s="490"/>
    </row>
    <row r="115" spans="2:29" ht="12.75">
      <c r="B115" s="57" t="s">
        <v>1972</v>
      </c>
      <c r="C115" s="57" t="s">
        <v>1973</v>
      </c>
      <c r="D115" s="58" t="s">
        <v>1674</v>
      </c>
      <c r="E115" s="57" t="s">
        <v>1674</v>
      </c>
      <c r="F115" s="57" t="s">
        <v>1674</v>
      </c>
      <c r="G115" s="57" t="s">
        <v>1799</v>
      </c>
      <c r="H115" s="59">
        <v>1.4599999999999999E-3</v>
      </c>
      <c r="I115" s="57">
        <v>0.85</v>
      </c>
      <c r="J115" s="78">
        <v>2.5428995733166531</v>
      </c>
      <c r="K115" s="84" t="s">
        <v>276</v>
      </c>
      <c r="L115" s="524"/>
      <c r="M115" s="62">
        <v>7.0000000000000007E-2</v>
      </c>
      <c r="N115" s="84" t="s">
        <v>276</v>
      </c>
      <c r="O115" s="522"/>
      <c r="P115" s="57" t="s">
        <v>1945</v>
      </c>
      <c r="Q115" s="237" t="s">
        <v>256</v>
      </c>
      <c r="S115" s="57" t="s">
        <v>1972</v>
      </c>
      <c r="T115" s="57" t="s">
        <v>1973</v>
      </c>
      <c r="U115" s="58" t="s">
        <v>1674</v>
      </c>
      <c r="V115" s="57" t="s">
        <v>1674</v>
      </c>
      <c r="W115" s="57" t="s">
        <v>1674</v>
      </c>
      <c r="X115" s="57" t="s">
        <v>1799</v>
      </c>
      <c r="Y115" s="504"/>
      <c r="Z115" s="143" t="s">
        <v>276</v>
      </c>
      <c r="AA115" s="144">
        <v>8125</v>
      </c>
      <c r="AB115" s="57" t="s">
        <v>1946</v>
      </c>
      <c r="AC115" s="239" t="s">
        <v>256</v>
      </c>
    </row>
    <row r="116" spans="2:29" ht="12.75">
      <c r="B116" s="47" t="s">
        <v>1972</v>
      </c>
      <c r="C116" s="47" t="s">
        <v>1973</v>
      </c>
      <c r="D116" s="48" t="s">
        <v>1674</v>
      </c>
      <c r="E116" s="47" t="s">
        <v>1674</v>
      </c>
      <c r="F116" s="47" t="s">
        <v>1673</v>
      </c>
      <c r="G116" s="47" t="s">
        <v>1778</v>
      </c>
      <c r="H116" s="49" t="s">
        <v>1978</v>
      </c>
      <c r="I116" s="47">
        <v>0.85</v>
      </c>
      <c r="J116" s="78">
        <v>1.4335223593472797</v>
      </c>
      <c r="K116" s="80" t="s">
        <v>274</v>
      </c>
      <c r="L116" s="510">
        <v>1.6401708719887149</v>
      </c>
      <c r="M116" s="62">
        <v>6.3E-2</v>
      </c>
      <c r="N116" s="80" t="s">
        <v>274</v>
      </c>
      <c r="O116" s="513" t="s">
        <v>1975</v>
      </c>
      <c r="P116" s="35" t="s">
        <v>1523</v>
      </c>
      <c r="Q116" s="235" t="s">
        <v>275</v>
      </c>
      <c r="S116" s="35" t="s">
        <v>1972</v>
      </c>
      <c r="T116" s="35" t="s">
        <v>1973</v>
      </c>
      <c r="U116" s="36" t="s">
        <v>1674</v>
      </c>
      <c r="V116" s="35" t="s">
        <v>1674</v>
      </c>
      <c r="W116" s="35" t="s">
        <v>1673</v>
      </c>
      <c r="X116" s="35" t="s">
        <v>1778</v>
      </c>
      <c r="Y116" s="496">
        <v>6000</v>
      </c>
      <c r="Z116" s="149" t="s">
        <v>274</v>
      </c>
      <c r="AA116" s="150">
        <v>4500</v>
      </c>
      <c r="AB116" s="35" t="s">
        <v>1943</v>
      </c>
      <c r="AC116" s="238" t="s">
        <v>275</v>
      </c>
    </row>
    <row r="117" spans="2:29" ht="12.75">
      <c r="B117" s="47" t="s">
        <v>1972</v>
      </c>
      <c r="C117" s="47" t="s">
        <v>1973</v>
      </c>
      <c r="D117" s="48" t="s">
        <v>1674</v>
      </c>
      <c r="E117" s="47" t="s">
        <v>1674</v>
      </c>
      <c r="F117" s="47" t="s">
        <v>1673</v>
      </c>
      <c r="G117" s="47" t="s">
        <v>1778</v>
      </c>
      <c r="H117" s="49" t="s">
        <v>1978</v>
      </c>
      <c r="I117" s="47">
        <v>0.85</v>
      </c>
      <c r="J117" s="78">
        <v>1.4335223593472797</v>
      </c>
      <c r="K117" s="80" t="s">
        <v>276</v>
      </c>
      <c r="L117" s="510"/>
      <c r="M117" s="62">
        <v>6.3E-2</v>
      </c>
      <c r="N117" s="80" t="s">
        <v>274</v>
      </c>
      <c r="O117" s="513"/>
      <c r="P117" s="35" t="s">
        <v>1944</v>
      </c>
      <c r="Q117" s="236" t="s">
        <v>277</v>
      </c>
      <c r="S117" s="35" t="s">
        <v>1972</v>
      </c>
      <c r="T117" s="35" t="s">
        <v>1973</v>
      </c>
      <c r="U117" s="36" t="s">
        <v>1674</v>
      </c>
      <c r="V117" s="35" t="s">
        <v>1674</v>
      </c>
      <c r="W117" s="35" t="s">
        <v>1673</v>
      </c>
      <c r="X117" s="35" t="s">
        <v>1778</v>
      </c>
      <c r="Y117" s="496"/>
      <c r="Z117" s="151" t="s">
        <v>276</v>
      </c>
      <c r="AA117" s="152">
        <v>4500</v>
      </c>
      <c r="AB117" s="491" t="s">
        <v>1944</v>
      </c>
      <c r="AC117" s="490" t="s">
        <v>277</v>
      </c>
    </row>
    <row r="118" spans="2:29" ht="12.75">
      <c r="B118" s="47" t="s">
        <v>1972</v>
      </c>
      <c r="C118" s="47" t="s">
        <v>1973</v>
      </c>
      <c r="D118" s="48" t="s">
        <v>1674</v>
      </c>
      <c r="E118" s="47" t="s">
        <v>1674</v>
      </c>
      <c r="F118" s="47" t="s">
        <v>1673</v>
      </c>
      <c r="G118" s="47" t="s">
        <v>1778</v>
      </c>
      <c r="H118" s="49">
        <v>8.8100000000000006E-4</v>
      </c>
      <c r="I118" s="47">
        <v>0.85</v>
      </c>
      <c r="J118" s="78">
        <v>1.4335223593472797</v>
      </c>
      <c r="K118" s="80" t="s">
        <v>274</v>
      </c>
      <c r="L118" s="510"/>
      <c r="M118" s="62">
        <v>6.3E-2</v>
      </c>
      <c r="N118" s="80" t="s">
        <v>276</v>
      </c>
      <c r="O118" s="513"/>
      <c r="P118" s="35" t="s">
        <v>1944</v>
      </c>
      <c r="Q118" s="236" t="s">
        <v>277</v>
      </c>
      <c r="S118" s="35" t="s">
        <v>1972</v>
      </c>
      <c r="T118" s="35" t="s">
        <v>1973</v>
      </c>
      <c r="U118" s="36" t="s">
        <v>1674</v>
      </c>
      <c r="V118" s="35" t="s">
        <v>1674</v>
      </c>
      <c r="W118" s="35" t="s">
        <v>1673</v>
      </c>
      <c r="X118" s="35" t="s">
        <v>1778</v>
      </c>
      <c r="Y118" s="496"/>
      <c r="Z118" s="153" t="s">
        <v>274</v>
      </c>
      <c r="AA118" s="154">
        <v>7500</v>
      </c>
      <c r="AB118" s="491"/>
      <c r="AC118" s="490"/>
    </row>
    <row r="119" spans="2:29" ht="12.75">
      <c r="B119" s="47" t="s">
        <v>1972</v>
      </c>
      <c r="C119" s="47" t="s">
        <v>1973</v>
      </c>
      <c r="D119" s="48" t="s">
        <v>1674</v>
      </c>
      <c r="E119" s="47" t="s">
        <v>1674</v>
      </c>
      <c r="F119" s="47" t="s">
        <v>1673</v>
      </c>
      <c r="G119" s="47" t="s">
        <v>1778</v>
      </c>
      <c r="H119" s="49">
        <v>8.8100000000000006E-4</v>
      </c>
      <c r="I119" s="47">
        <v>0.85</v>
      </c>
      <c r="J119" s="78">
        <v>1.4335223593472797</v>
      </c>
      <c r="K119" s="80" t="s">
        <v>276</v>
      </c>
      <c r="L119" s="510"/>
      <c r="M119" s="62">
        <v>6.3E-2</v>
      </c>
      <c r="N119" s="80" t="s">
        <v>276</v>
      </c>
      <c r="O119" s="513"/>
      <c r="P119" s="35" t="s">
        <v>1945</v>
      </c>
      <c r="Q119" s="237" t="s">
        <v>256</v>
      </c>
      <c r="S119" s="35" t="s">
        <v>1972</v>
      </c>
      <c r="T119" s="35" t="s">
        <v>1973</v>
      </c>
      <c r="U119" s="36" t="s">
        <v>1674</v>
      </c>
      <c r="V119" s="35" t="s">
        <v>1674</v>
      </c>
      <c r="W119" s="35" t="s">
        <v>1673</v>
      </c>
      <c r="X119" s="35" t="s">
        <v>1778</v>
      </c>
      <c r="Y119" s="496"/>
      <c r="Z119" s="149" t="s">
        <v>276</v>
      </c>
      <c r="AA119" s="150">
        <v>7500</v>
      </c>
      <c r="AB119" s="35" t="s">
        <v>1946</v>
      </c>
      <c r="AC119" s="239" t="s">
        <v>256</v>
      </c>
    </row>
    <row r="120" spans="2:29" ht="12.75">
      <c r="B120" s="57" t="s">
        <v>1972</v>
      </c>
      <c r="C120" s="57" t="s">
        <v>1973</v>
      </c>
      <c r="D120" s="58" t="s">
        <v>1674</v>
      </c>
      <c r="E120" s="57" t="s">
        <v>1674</v>
      </c>
      <c r="F120" s="57" t="s">
        <v>1673</v>
      </c>
      <c r="G120" s="57" t="s">
        <v>1781</v>
      </c>
      <c r="H120" s="59" t="s">
        <v>1979</v>
      </c>
      <c r="I120" s="57">
        <v>0.85</v>
      </c>
      <c r="J120" s="78">
        <v>1.4492985008863246</v>
      </c>
      <c r="K120" s="84" t="s">
        <v>274</v>
      </c>
      <c r="L120" s="524">
        <v>1.6401708719887149</v>
      </c>
      <c r="M120" s="62">
        <v>7.0000000000000007E-2</v>
      </c>
      <c r="N120" s="84" t="s">
        <v>274</v>
      </c>
      <c r="O120" s="522" t="s">
        <v>1975</v>
      </c>
      <c r="P120" s="57" t="s">
        <v>1523</v>
      </c>
      <c r="Q120" s="235" t="s">
        <v>275</v>
      </c>
      <c r="S120" s="57" t="s">
        <v>1972</v>
      </c>
      <c r="T120" s="57" t="s">
        <v>1973</v>
      </c>
      <c r="U120" s="58" t="s">
        <v>1674</v>
      </c>
      <c r="V120" s="57" t="s">
        <v>1674</v>
      </c>
      <c r="W120" s="57" t="s">
        <v>1673</v>
      </c>
      <c r="X120" s="57" t="s">
        <v>1781</v>
      </c>
      <c r="Y120" s="504">
        <v>4000</v>
      </c>
      <c r="Z120" s="143" t="s">
        <v>274</v>
      </c>
      <c r="AA120" s="144">
        <v>3000</v>
      </c>
      <c r="AB120" s="57" t="s">
        <v>1943</v>
      </c>
      <c r="AC120" s="238" t="s">
        <v>275</v>
      </c>
    </row>
    <row r="121" spans="2:29" ht="12.75">
      <c r="B121" s="57" t="s">
        <v>1972</v>
      </c>
      <c r="C121" s="57" t="s">
        <v>1973</v>
      </c>
      <c r="D121" s="58" t="s">
        <v>1674</v>
      </c>
      <c r="E121" s="57" t="s">
        <v>1674</v>
      </c>
      <c r="F121" s="57" t="s">
        <v>1673</v>
      </c>
      <c r="G121" s="57" t="s">
        <v>1781</v>
      </c>
      <c r="H121" s="59" t="s">
        <v>1979</v>
      </c>
      <c r="I121" s="57">
        <v>0.85</v>
      </c>
      <c r="J121" s="78">
        <v>0.93882880440224092</v>
      </c>
      <c r="K121" s="84" t="s">
        <v>276</v>
      </c>
      <c r="L121" s="524"/>
      <c r="M121" s="62">
        <v>7.0000000000000007E-2</v>
      </c>
      <c r="N121" s="84" t="s">
        <v>274</v>
      </c>
      <c r="O121" s="522"/>
      <c r="P121" s="57" t="s">
        <v>1944</v>
      </c>
      <c r="Q121" s="236" t="s">
        <v>277</v>
      </c>
      <c r="S121" s="57" t="s">
        <v>1972</v>
      </c>
      <c r="T121" s="57" t="s">
        <v>1973</v>
      </c>
      <c r="U121" s="58" t="s">
        <v>1674</v>
      </c>
      <c r="V121" s="57" t="s">
        <v>1674</v>
      </c>
      <c r="W121" s="57" t="s">
        <v>1673</v>
      </c>
      <c r="X121" s="57" t="s">
        <v>1781</v>
      </c>
      <c r="Y121" s="504"/>
      <c r="Z121" s="145" t="s">
        <v>276</v>
      </c>
      <c r="AA121" s="146">
        <v>3000</v>
      </c>
      <c r="AB121" s="506" t="s">
        <v>1944</v>
      </c>
      <c r="AC121" s="490" t="s">
        <v>277</v>
      </c>
    </row>
    <row r="122" spans="2:29" ht="12.75">
      <c r="B122" s="57" t="s">
        <v>1972</v>
      </c>
      <c r="C122" s="57" t="s">
        <v>1973</v>
      </c>
      <c r="D122" s="58" t="s">
        <v>1674</v>
      </c>
      <c r="E122" s="57" t="s">
        <v>1674</v>
      </c>
      <c r="F122" s="57" t="s">
        <v>1673</v>
      </c>
      <c r="G122" s="57" t="s">
        <v>1781</v>
      </c>
      <c r="H122" s="59">
        <v>1.0400000000000001E-3</v>
      </c>
      <c r="I122" s="57">
        <v>0.85</v>
      </c>
      <c r="J122" s="78">
        <v>1.1989037867632772</v>
      </c>
      <c r="K122" s="84" t="s">
        <v>274</v>
      </c>
      <c r="L122" s="524"/>
      <c r="M122" s="62">
        <v>7.0000000000000007E-2</v>
      </c>
      <c r="N122" s="84" t="s">
        <v>276</v>
      </c>
      <c r="O122" s="522"/>
      <c r="P122" s="57" t="s">
        <v>1944</v>
      </c>
      <c r="Q122" s="236" t="s">
        <v>277</v>
      </c>
      <c r="S122" s="57" t="s">
        <v>1972</v>
      </c>
      <c r="T122" s="57" t="s">
        <v>1973</v>
      </c>
      <c r="U122" s="58" t="s">
        <v>1674</v>
      </c>
      <c r="V122" s="57" t="s">
        <v>1674</v>
      </c>
      <c r="W122" s="57" t="s">
        <v>1673</v>
      </c>
      <c r="X122" s="57" t="s">
        <v>1781</v>
      </c>
      <c r="Y122" s="504"/>
      <c r="Z122" s="147" t="s">
        <v>274</v>
      </c>
      <c r="AA122" s="148">
        <v>5000</v>
      </c>
      <c r="AB122" s="506"/>
      <c r="AC122" s="490"/>
    </row>
    <row r="123" spans="2:29" ht="12.75">
      <c r="B123" s="57" t="s">
        <v>1972</v>
      </c>
      <c r="C123" s="57" t="s">
        <v>1973</v>
      </c>
      <c r="D123" s="58" t="s">
        <v>1674</v>
      </c>
      <c r="E123" s="57" t="s">
        <v>1674</v>
      </c>
      <c r="F123" s="57" t="s">
        <v>1673</v>
      </c>
      <c r="G123" s="57" t="s">
        <v>1781</v>
      </c>
      <c r="H123" s="59">
        <v>1.0400000000000001E-3</v>
      </c>
      <c r="I123" s="57">
        <v>0.85</v>
      </c>
      <c r="J123" s="78">
        <v>1.1989037867632772</v>
      </c>
      <c r="K123" s="84" t="s">
        <v>276</v>
      </c>
      <c r="L123" s="524"/>
      <c r="M123" s="62">
        <v>7.0000000000000007E-2</v>
      </c>
      <c r="N123" s="84" t="s">
        <v>276</v>
      </c>
      <c r="O123" s="522"/>
      <c r="P123" s="57" t="s">
        <v>1945</v>
      </c>
      <c r="Q123" s="237" t="s">
        <v>256</v>
      </c>
      <c r="S123" s="57" t="s">
        <v>1972</v>
      </c>
      <c r="T123" s="57" t="s">
        <v>1973</v>
      </c>
      <c r="U123" s="58" t="s">
        <v>1674</v>
      </c>
      <c r="V123" s="57" t="s">
        <v>1674</v>
      </c>
      <c r="W123" s="57" t="s">
        <v>1673</v>
      </c>
      <c r="X123" s="57" t="s">
        <v>1781</v>
      </c>
      <c r="Y123" s="504"/>
      <c r="Z123" s="143" t="s">
        <v>276</v>
      </c>
      <c r="AA123" s="144">
        <v>5000</v>
      </c>
      <c r="AB123" s="57" t="s">
        <v>1946</v>
      </c>
      <c r="AC123" s="239" t="s">
        <v>256</v>
      </c>
    </row>
    <row r="124" spans="2:29" ht="12.75">
      <c r="B124" s="47" t="s">
        <v>1972</v>
      </c>
      <c r="C124" s="47" t="s">
        <v>1973</v>
      </c>
      <c r="D124" s="48" t="s">
        <v>1674</v>
      </c>
      <c r="E124" s="47" t="s">
        <v>1674</v>
      </c>
      <c r="F124" s="47" t="s">
        <v>1673</v>
      </c>
      <c r="G124" s="47" t="s">
        <v>1799</v>
      </c>
      <c r="H124" s="49" t="s">
        <v>1980</v>
      </c>
      <c r="I124" s="47">
        <v>0.85</v>
      </c>
      <c r="J124" s="78">
        <v>1.6999109476418175</v>
      </c>
      <c r="K124" s="80" t="s">
        <v>274</v>
      </c>
      <c r="L124" s="510">
        <v>1.6401708719887149</v>
      </c>
      <c r="M124" s="62">
        <v>7.0000000000000007E-2</v>
      </c>
      <c r="N124" s="80" t="s">
        <v>274</v>
      </c>
      <c r="O124" s="513" t="s">
        <v>1975</v>
      </c>
      <c r="P124" s="35" t="s">
        <v>1523</v>
      </c>
      <c r="Q124" s="235" t="s">
        <v>275</v>
      </c>
      <c r="S124" s="35" t="s">
        <v>1972</v>
      </c>
      <c r="T124" s="35" t="s">
        <v>1973</v>
      </c>
      <c r="U124" s="36" t="s">
        <v>1674</v>
      </c>
      <c r="V124" s="35" t="s">
        <v>1674</v>
      </c>
      <c r="W124" s="35" t="s">
        <v>1673</v>
      </c>
      <c r="X124" s="35" t="s">
        <v>1799</v>
      </c>
      <c r="Y124" s="496">
        <v>6500</v>
      </c>
      <c r="Z124" s="149" t="s">
        <v>274</v>
      </c>
      <c r="AA124" s="150">
        <v>4875</v>
      </c>
      <c r="AB124" s="35" t="s">
        <v>1943</v>
      </c>
      <c r="AC124" s="238" t="s">
        <v>275</v>
      </c>
    </row>
    <row r="125" spans="2:29" ht="12.75">
      <c r="B125" s="47" t="s">
        <v>1972</v>
      </c>
      <c r="C125" s="47" t="s">
        <v>1973</v>
      </c>
      <c r="D125" s="48" t="s">
        <v>1674</v>
      </c>
      <c r="E125" s="47" t="s">
        <v>1674</v>
      </c>
      <c r="F125" s="47" t="s">
        <v>1673</v>
      </c>
      <c r="G125" s="47" t="s">
        <v>1799</v>
      </c>
      <c r="H125" s="49" t="s">
        <v>1980</v>
      </c>
      <c r="I125" s="47">
        <v>0.85</v>
      </c>
      <c r="J125" s="78">
        <v>1.6999109476418175</v>
      </c>
      <c r="K125" s="80" t="s">
        <v>276</v>
      </c>
      <c r="L125" s="510"/>
      <c r="M125" s="62">
        <v>7.0000000000000007E-2</v>
      </c>
      <c r="N125" s="80" t="s">
        <v>274</v>
      </c>
      <c r="O125" s="513"/>
      <c r="P125" s="35" t="s">
        <v>1944</v>
      </c>
      <c r="Q125" s="236" t="s">
        <v>277</v>
      </c>
      <c r="S125" s="35" t="s">
        <v>1972</v>
      </c>
      <c r="T125" s="35" t="s">
        <v>1973</v>
      </c>
      <c r="U125" s="36" t="s">
        <v>1674</v>
      </c>
      <c r="V125" s="35" t="s">
        <v>1674</v>
      </c>
      <c r="W125" s="35" t="s">
        <v>1673</v>
      </c>
      <c r="X125" s="35" t="s">
        <v>1799</v>
      </c>
      <c r="Y125" s="496"/>
      <c r="Z125" s="151" t="s">
        <v>276</v>
      </c>
      <c r="AA125" s="152">
        <v>4875</v>
      </c>
      <c r="AB125" s="491" t="s">
        <v>1944</v>
      </c>
      <c r="AC125" s="490" t="s">
        <v>277</v>
      </c>
    </row>
    <row r="126" spans="2:29" ht="12.75">
      <c r="B126" s="47" t="s">
        <v>1972</v>
      </c>
      <c r="C126" s="47" t="s">
        <v>1973</v>
      </c>
      <c r="D126" s="48" t="s">
        <v>1674</v>
      </c>
      <c r="E126" s="47" t="s">
        <v>1674</v>
      </c>
      <c r="F126" s="47" t="s">
        <v>1673</v>
      </c>
      <c r="G126" s="47" t="s">
        <v>1799</v>
      </c>
      <c r="H126" s="49">
        <v>9.7599999999999998E-4</v>
      </c>
      <c r="I126" s="47">
        <v>0.85</v>
      </c>
      <c r="J126" s="78">
        <v>1.6999109476418175</v>
      </c>
      <c r="K126" s="80" t="s">
        <v>274</v>
      </c>
      <c r="L126" s="510"/>
      <c r="M126" s="62">
        <v>7.0000000000000007E-2</v>
      </c>
      <c r="N126" s="80" t="s">
        <v>276</v>
      </c>
      <c r="O126" s="513"/>
      <c r="P126" s="35" t="s">
        <v>1944</v>
      </c>
      <c r="Q126" s="236" t="s">
        <v>277</v>
      </c>
      <c r="S126" s="35" t="s">
        <v>1972</v>
      </c>
      <c r="T126" s="35" t="s">
        <v>1973</v>
      </c>
      <c r="U126" s="36" t="s">
        <v>1674</v>
      </c>
      <c r="V126" s="35" t="s">
        <v>1674</v>
      </c>
      <c r="W126" s="35" t="s">
        <v>1673</v>
      </c>
      <c r="X126" s="35" t="s">
        <v>1799</v>
      </c>
      <c r="Y126" s="496"/>
      <c r="Z126" s="153" t="s">
        <v>274</v>
      </c>
      <c r="AA126" s="154">
        <v>8125</v>
      </c>
      <c r="AB126" s="491"/>
      <c r="AC126" s="490"/>
    </row>
    <row r="127" spans="2:29" ht="12.75">
      <c r="B127" s="47" t="s">
        <v>1972</v>
      </c>
      <c r="C127" s="47" t="s">
        <v>1973</v>
      </c>
      <c r="D127" s="48" t="s">
        <v>1674</v>
      </c>
      <c r="E127" s="47" t="s">
        <v>1674</v>
      </c>
      <c r="F127" s="47" t="s">
        <v>1673</v>
      </c>
      <c r="G127" s="47" t="s">
        <v>1799</v>
      </c>
      <c r="H127" s="49">
        <v>9.7599999999999998E-4</v>
      </c>
      <c r="I127" s="47">
        <v>0.85</v>
      </c>
      <c r="J127" s="78">
        <v>1.6999109476418175</v>
      </c>
      <c r="K127" s="80" t="s">
        <v>276</v>
      </c>
      <c r="L127" s="510"/>
      <c r="M127" s="62">
        <v>7.0000000000000007E-2</v>
      </c>
      <c r="N127" s="80" t="s">
        <v>276</v>
      </c>
      <c r="O127" s="513"/>
      <c r="P127" s="35" t="s">
        <v>1945</v>
      </c>
      <c r="Q127" s="237" t="s">
        <v>256</v>
      </c>
      <c r="S127" s="35" t="s">
        <v>1972</v>
      </c>
      <c r="T127" s="35" t="s">
        <v>1973</v>
      </c>
      <c r="U127" s="36" t="s">
        <v>1674</v>
      </c>
      <c r="V127" s="35" t="s">
        <v>1674</v>
      </c>
      <c r="W127" s="35" t="s">
        <v>1673</v>
      </c>
      <c r="X127" s="35" t="s">
        <v>1799</v>
      </c>
      <c r="Y127" s="496"/>
      <c r="Z127" s="149" t="s">
        <v>276</v>
      </c>
      <c r="AA127" s="150">
        <v>8125</v>
      </c>
      <c r="AB127" s="35" t="s">
        <v>1946</v>
      </c>
      <c r="AC127" s="239" t="s">
        <v>256</v>
      </c>
    </row>
    <row r="128" spans="2:29" ht="12.75">
      <c r="B128" s="57" t="s">
        <v>1972</v>
      </c>
      <c r="C128" s="57" t="s">
        <v>1973</v>
      </c>
      <c r="D128" s="58" t="s">
        <v>1674</v>
      </c>
      <c r="E128" s="57" t="s">
        <v>1673</v>
      </c>
      <c r="F128" s="57" t="s">
        <v>1674</v>
      </c>
      <c r="G128" s="57" t="s">
        <v>1778</v>
      </c>
      <c r="H128" s="59" t="s">
        <v>1981</v>
      </c>
      <c r="I128" s="57">
        <v>0.85</v>
      </c>
      <c r="J128" s="78">
        <v>1.5251318922879598</v>
      </c>
      <c r="K128" s="84" t="s">
        <v>274</v>
      </c>
      <c r="L128" s="524">
        <v>1.6401708719887149</v>
      </c>
      <c r="M128" s="62">
        <v>5.5E-2</v>
      </c>
      <c r="N128" s="84" t="s">
        <v>274</v>
      </c>
      <c r="O128" s="522" t="s">
        <v>1975</v>
      </c>
      <c r="P128" s="57" t="s">
        <v>1523</v>
      </c>
      <c r="Q128" s="235" t="s">
        <v>275</v>
      </c>
      <c r="S128" s="57" t="s">
        <v>1972</v>
      </c>
      <c r="T128" s="57" t="s">
        <v>1973</v>
      </c>
      <c r="U128" s="58" t="s">
        <v>1674</v>
      </c>
      <c r="V128" s="57" t="s">
        <v>1673</v>
      </c>
      <c r="W128" s="57" t="s">
        <v>1674</v>
      </c>
      <c r="X128" s="57" t="s">
        <v>1778</v>
      </c>
      <c r="Y128" s="504">
        <v>12000</v>
      </c>
      <c r="Z128" s="143" t="s">
        <v>274</v>
      </c>
      <c r="AA128" s="144">
        <v>9000</v>
      </c>
      <c r="AB128" s="57" t="s">
        <v>1943</v>
      </c>
      <c r="AC128" s="238" t="s">
        <v>275</v>
      </c>
    </row>
    <row r="129" spans="2:29" ht="12.75">
      <c r="B129" s="57" t="s">
        <v>1972</v>
      </c>
      <c r="C129" s="57" t="s">
        <v>1973</v>
      </c>
      <c r="D129" s="58" t="s">
        <v>1674</v>
      </c>
      <c r="E129" s="57" t="s">
        <v>1673</v>
      </c>
      <c r="F129" s="57" t="s">
        <v>1674</v>
      </c>
      <c r="G129" s="57" t="s">
        <v>1778</v>
      </c>
      <c r="H129" s="59" t="s">
        <v>1981</v>
      </c>
      <c r="I129" s="57">
        <v>0.85</v>
      </c>
      <c r="J129" s="78">
        <v>1.5251318922879598</v>
      </c>
      <c r="K129" s="84" t="s">
        <v>276</v>
      </c>
      <c r="L129" s="524"/>
      <c r="M129" s="62">
        <v>5.5E-2</v>
      </c>
      <c r="N129" s="84" t="s">
        <v>274</v>
      </c>
      <c r="O129" s="522"/>
      <c r="P129" s="57" t="s">
        <v>1944</v>
      </c>
      <c r="Q129" s="236" t="s">
        <v>277</v>
      </c>
      <c r="S129" s="57" t="s">
        <v>1972</v>
      </c>
      <c r="T129" s="57" t="s">
        <v>1973</v>
      </c>
      <c r="U129" s="58" t="s">
        <v>1674</v>
      </c>
      <c r="V129" s="57" t="s">
        <v>1673</v>
      </c>
      <c r="W129" s="57" t="s">
        <v>1674</v>
      </c>
      <c r="X129" s="57" t="s">
        <v>1778</v>
      </c>
      <c r="Y129" s="504"/>
      <c r="Z129" s="145" t="s">
        <v>276</v>
      </c>
      <c r="AA129" s="146">
        <v>9000</v>
      </c>
      <c r="AB129" s="506" t="s">
        <v>1944</v>
      </c>
      <c r="AC129" s="490" t="s">
        <v>277</v>
      </c>
    </row>
    <row r="130" spans="2:29" ht="12.75">
      <c r="B130" s="57" t="s">
        <v>1972</v>
      </c>
      <c r="C130" s="57" t="s">
        <v>1973</v>
      </c>
      <c r="D130" s="58" t="s">
        <v>1674</v>
      </c>
      <c r="E130" s="57" t="s">
        <v>1673</v>
      </c>
      <c r="F130" s="57" t="s">
        <v>1674</v>
      </c>
      <c r="G130" s="57" t="s">
        <v>1778</v>
      </c>
      <c r="H130" s="59">
        <v>5.2000000000000006E-4</v>
      </c>
      <c r="I130" s="57">
        <v>0.85</v>
      </c>
      <c r="J130" s="78">
        <v>1.5251318922879598</v>
      </c>
      <c r="K130" s="84" t="s">
        <v>274</v>
      </c>
      <c r="L130" s="524"/>
      <c r="M130" s="62">
        <v>5.5E-2</v>
      </c>
      <c r="N130" s="84" t="s">
        <v>276</v>
      </c>
      <c r="O130" s="522"/>
      <c r="P130" s="57" t="s">
        <v>1944</v>
      </c>
      <c r="Q130" s="236" t="s">
        <v>277</v>
      </c>
      <c r="S130" s="57" t="s">
        <v>1972</v>
      </c>
      <c r="T130" s="57" t="s">
        <v>1973</v>
      </c>
      <c r="U130" s="58" t="s">
        <v>1674</v>
      </c>
      <c r="V130" s="57" t="s">
        <v>1673</v>
      </c>
      <c r="W130" s="57" t="s">
        <v>1674</v>
      </c>
      <c r="X130" s="57" t="s">
        <v>1778</v>
      </c>
      <c r="Y130" s="504"/>
      <c r="Z130" s="147" t="s">
        <v>274</v>
      </c>
      <c r="AA130" s="148">
        <v>15000</v>
      </c>
      <c r="AB130" s="506"/>
      <c r="AC130" s="490"/>
    </row>
    <row r="131" spans="2:29" ht="12.75">
      <c r="B131" s="57" t="s">
        <v>1972</v>
      </c>
      <c r="C131" s="57" t="s">
        <v>1973</v>
      </c>
      <c r="D131" s="58" t="s">
        <v>1674</v>
      </c>
      <c r="E131" s="57" t="s">
        <v>1673</v>
      </c>
      <c r="F131" s="57" t="s">
        <v>1674</v>
      </c>
      <c r="G131" s="57" t="s">
        <v>1778</v>
      </c>
      <c r="H131" s="59">
        <v>5.2000000000000006E-4</v>
      </c>
      <c r="I131" s="57">
        <v>0.85</v>
      </c>
      <c r="J131" s="78">
        <v>1.5251318922879598</v>
      </c>
      <c r="K131" s="84" t="s">
        <v>276</v>
      </c>
      <c r="L131" s="524"/>
      <c r="M131" s="62">
        <v>5.5E-2</v>
      </c>
      <c r="N131" s="84" t="s">
        <v>276</v>
      </c>
      <c r="O131" s="522"/>
      <c r="P131" s="57" t="s">
        <v>1945</v>
      </c>
      <c r="Q131" s="237" t="s">
        <v>256</v>
      </c>
      <c r="S131" s="57" t="s">
        <v>1972</v>
      </c>
      <c r="T131" s="57" t="s">
        <v>1973</v>
      </c>
      <c r="U131" s="58" t="s">
        <v>1674</v>
      </c>
      <c r="V131" s="57" t="s">
        <v>1673</v>
      </c>
      <c r="W131" s="57" t="s">
        <v>1674</v>
      </c>
      <c r="X131" s="57" t="s">
        <v>1778</v>
      </c>
      <c r="Y131" s="504"/>
      <c r="Z131" s="143" t="s">
        <v>276</v>
      </c>
      <c r="AA131" s="144">
        <v>15000</v>
      </c>
      <c r="AB131" s="57" t="s">
        <v>1946</v>
      </c>
      <c r="AC131" s="239" t="s">
        <v>256</v>
      </c>
    </row>
    <row r="132" spans="2:29" ht="12.75">
      <c r="B132" s="47" t="s">
        <v>1972</v>
      </c>
      <c r="C132" s="47" t="s">
        <v>1973</v>
      </c>
      <c r="D132" s="48" t="s">
        <v>1674</v>
      </c>
      <c r="E132" s="47" t="s">
        <v>1673</v>
      </c>
      <c r="F132" s="47" t="s">
        <v>1674</v>
      </c>
      <c r="G132" s="47" t="s">
        <v>1781</v>
      </c>
      <c r="H132" s="49" t="s">
        <v>1982</v>
      </c>
      <c r="I132" s="47">
        <v>0.85</v>
      </c>
      <c r="J132" s="78">
        <v>1.2799918402825157</v>
      </c>
      <c r="K132" s="80" t="s">
        <v>274</v>
      </c>
      <c r="L132" s="510">
        <v>1.6401708719887149</v>
      </c>
      <c r="M132" s="62">
        <v>6.0999999999999999E-2</v>
      </c>
      <c r="N132" s="80" t="s">
        <v>274</v>
      </c>
      <c r="O132" s="513" t="s">
        <v>1975</v>
      </c>
      <c r="P132" s="35" t="s">
        <v>1523</v>
      </c>
      <c r="Q132" s="235" t="s">
        <v>275</v>
      </c>
      <c r="S132" s="35" t="s">
        <v>1972</v>
      </c>
      <c r="T132" s="35" t="s">
        <v>1973</v>
      </c>
      <c r="U132" s="36" t="s">
        <v>1674</v>
      </c>
      <c r="V132" s="35" t="s">
        <v>1673</v>
      </c>
      <c r="W132" s="35" t="s">
        <v>1674</v>
      </c>
      <c r="X132" s="35" t="s">
        <v>1781</v>
      </c>
      <c r="Y132" s="496">
        <v>8000</v>
      </c>
      <c r="Z132" s="149" t="s">
        <v>274</v>
      </c>
      <c r="AA132" s="150">
        <v>6000</v>
      </c>
      <c r="AB132" s="35" t="s">
        <v>1943</v>
      </c>
      <c r="AC132" s="238" t="s">
        <v>275</v>
      </c>
    </row>
    <row r="133" spans="2:29" ht="12.75">
      <c r="B133" s="47" t="s">
        <v>1972</v>
      </c>
      <c r="C133" s="47" t="s">
        <v>1973</v>
      </c>
      <c r="D133" s="48" t="s">
        <v>1674</v>
      </c>
      <c r="E133" s="47" t="s">
        <v>1673</v>
      </c>
      <c r="F133" s="47" t="s">
        <v>1674</v>
      </c>
      <c r="G133" s="47" t="s">
        <v>1781</v>
      </c>
      <c r="H133" s="49" t="s">
        <v>1982</v>
      </c>
      <c r="I133" s="47">
        <v>0.85</v>
      </c>
      <c r="J133" s="78">
        <v>1.2799918402825157</v>
      </c>
      <c r="K133" s="80" t="s">
        <v>276</v>
      </c>
      <c r="L133" s="510"/>
      <c r="M133" s="62">
        <v>6.0999999999999999E-2</v>
      </c>
      <c r="N133" s="80" t="s">
        <v>274</v>
      </c>
      <c r="O133" s="513"/>
      <c r="P133" s="35" t="s">
        <v>1944</v>
      </c>
      <c r="Q133" s="236" t="s">
        <v>277</v>
      </c>
      <c r="S133" s="35" t="s">
        <v>1972</v>
      </c>
      <c r="T133" s="35" t="s">
        <v>1973</v>
      </c>
      <c r="U133" s="36" t="s">
        <v>1674</v>
      </c>
      <c r="V133" s="35" t="s">
        <v>1673</v>
      </c>
      <c r="W133" s="35" t="s">
        <v>1674</v>
      </c>
      <c r="X133" s="35" t="s">
        <v>1781</v>
      </c>
      <c r="Y133" s="496"/>
      <c r="Z133" s="151" t="s">
        <v>276</v>
      </c>
      <c r="AA133" s="152">
        <v>6000</v>
      </c>
      <c r="AB133" s="491" t="s">
        <v>1944</v>
      </c>
      <c r="AC133" s="490" t="s">
        <v>277</v>
      </c>
    </row>
    <row r="134" spans="2:29" ht="12.75">
      <c r="B134" s="47" t="s">
        <v>1972</v>
      </c>
      <c r="C134" s="47" t="s">
        <v>1973</v>
      </c>
      <c r="D134" s="48" t="s">
        <v>1674</v>
      </c>
      <c r="E134" s="47" t="s">
        <v>1673</v>
      </c>
      <c r="F134" s="47" t="s">
        <v>1674</v>
      </c>
      <c r="G134" s="47" t="s">
        <v>1781</v>
      </c>
      <c r="H134" s="49">
        <v>6.1600000000000001E-4</v>
      </c>
      <c r="I134" s="47">
        <v>0.85</v>
      </c>
      <c r="J134" s="78">
        <v>1.2799918402825157</v>
      </c>
      <c r="K134" s="80" t="s">
        <v>274</v>
      </c>
      <c r="L134" s="510"/>
      <c r="M134" s="62">
        <v>6.0999999999999999E-2</v>
      </c>
      <c r="N134" s="80" t="s">
        <v>276</v>
      </c>
      <c r="O134" s="513"/>
      <c r="P134" s="35" t="s">
        <v>1944</v>
      </c>
      <c r="Q134" s="236" t="s">
        <v>277</v>
      </c>
      <c r="S134" s="35" t="s">
        <v>1972</v>
      </c>
      <c r="T134" s="35" t="s">
        <v>1973</v>
      </c>
      <c r="U134" s="36" t="s">
        <v>1674</v>
      </c>
      <c r="V134" s="35" t="s">
        <v>1673</v>
      </c>
      <c r="W134" s="35" t="s">
        <v>1674</v>
      </c>
      <c r="X134" s="35" t="s">
        <v>1781</v>
      </c>
      <c r="Y134" s="496"/>
      <c r="Z134" s="153" t="s">
        <v>274</v>
      </c>
      <c r="AA134" s="154">
        <v>10000</v>
      </c>
      <c r="AB134" s="491"/>
      <c r="AC134" s="490"/>
    </row>
    <row r="135" spans="2:29" ht="12.75">
      <c r="B135" s="47" t="s">
        <v>1972</v>
      </c>
      <c r="C135" s="47" t="s">
        <v>1973</v>
      </c>
      <c r="D135" s="48" t="s">
        <v>1674</v>
      </c>
      <c r="E135" s="47" t="s">
        <v>1673</v>
      </c>
      <c r="F135" s="47" t="s">
        <v>1674</v>
      </c>
      <c r="G135" s="47" t="s">
        <v>1781</v>
      </c>
      <c r="H135" s="49">
        <v>6.1600000000000001E-4</v>
      </c>
      <c r="I135" s="47">
        <v>0.85</v>
      </c>
      <c r="J135" s="78">
        <v>1.2799918402825157</v>
      </c>
      <c r="K135" s="80" t="s">
        <v>276</v>
      </c>
      <c r="L135" s="510"/>
      <c r="M135" s="62">
        <v>6.0999999999999999E-2</v>
      </c>
      <c r="N135" s="80" t="s">
        <v>276</v>
      </c>
      <c r="O135" s="513"/>
      <c r="P135" s="35" t="s">
        <v>1945</v>
      </c>
      <c r="Q135" s="237" t="s">
        <v>256</v>
      </c>
      <c r="S135" s="35" t="s">
        <v>1972</v>
      </c>
      <c r="T135" s="35" t="s">
        <v>1973</v>
      </c>
      <c r="U135" s="36" t="s">
        <v>1674</v>
      </c>
      <c r="V135" s="35" t="s">
        <v>1673</v>
      </c>
      <c r="W135" s="35" t="s">
        <v>1674</v>
      </c>
      <c r="X135" s="35" t="s">
        <v>1781</v>
      </c>
      <c r="Y135" s="496"/>
      <c r="Z135" s="149" t="s">
        <v>276</v>
      </c>
      <c r="AA135" s="150">
        <v>10000</v>
      </c>
      <c r="AB135" s="35" t="s">
        <v>1946</v>
      </c>
      <c r="AC135" s="239" t="s">
        <v>256</v>
      </c>
    </row>
    <row r="136" spans="2:29" ht="12.75">
      <c r="B136" s="57" t="s">
        <v>1972</v>
      </c>
      <c r="C136" s="57" t="s">
        <v>1973</v>
      </c>
      <c r="D136" s="58" t="s">
        <v>1674</v>
      </c>
      <c r="E136" s="57" t="s">
        <v>1673</v>
      </c>
      <c r="F136" s="57" t="s">
        <v>1674</v>
      </c>
      <c r="G136" s="57" t="s">
        <v>1799</v>
      </c>
      <c r="H136" s="59" t="s">
        <v>1983</v>
      </c>
      <c r="I136" s="57">
        <v>0.85</v>
      </c>
      <c r="J136" s="78">
        <v>1.8083160330012618</v>
      </c>
      <c r="K136" s="84" t="s">
        <v>274</v>
      </c>
      <c r="L136" s="524">
        <v>1.6401708719887149</v>
      </c>
      <c r="M136" s="62">
        <v>6.0999999999999999E-2</v>
      </c>
      <c r="N136" s="84" t="s">
        <v>274</v>
      </c>
      <c r="O136" s="522" t="s">
        <v>1975</v>
      </c>
      <c r="P136" s="57" t="s">
        <v>1523</v>
      </c>
      <c r="Q136" s="235" t="s">
        <v>275</v>
      </c>
      <c r="S136" s="57" t="s">
        <v>1972</v>
      </c>
      <c r="T136" s="57" t="s">
        <v>1973</v>
      </c>
      <c r="U136" s="58" t="s">
        <v>1674</v>
      </c>
      <c r="V136" s="57" t="s">
        <v>1673</v>
      </c>
      <c r="W136" s="57" t="s">
        <v>1674</v>
      </c>
      <c r="X136" s="57" t="s">
        <v>1799</v>
      </c>
      <c r="Y136" s="504">
        <v>13000</v>
      </c>
      <c r="Z136" s="143" t="s">
        <v>274</v>
      </c>
      <c r="AA136" s="144">
        <v>9750</v>
      </c>
      <c r="AB136" s="57" t="s">
        <v>1943</v>
      </c>
      <c r="AC136" s="238" t="s">
        <v>275</v>
      </c>
    </row>
    <row r="137" spans="2:29" ht="12.75">
      <c r="B137" s="57" t="s">
        <v>1972</v>
      </c>
      <c r="C137" s="57" t="s">
        <v>1973</v>
      </c>
      <c r="D137" s="58" t="s">
        <v>1674</v>
      </c>
      <c r="E137" s="57" t="s">
        <v>1673</v>
      </c>
      <c r="F137" s="57" t="s">
        <v>1674</v>
      </c>
      <c r="G137" s="57" t="s">
        <v>1799</v>
      </c>
      <c r="H137" s="59" t="s">
        <v>1983</v>
      </c>
      <c r="I137" s="57">
        <v>0.85</v>
      </c>
      <c r="J137" s="78">
        <v>1.8083160330012618</v>
      </c>
      <c r="K137" s="84" t="s">
        <v>276</v>
      </c>
      <c r="L137" s="524"/>
      <c r="M137" s="62">
        <v>6.0999999999999999E-2</v>
      </c>
      <c r="N137" s="84" t="s">
        <v>274</v>
      </c>
      <c r="O137" s="522"/>
      <c r="P137" s="57" t="s">
        <v>1944</v>
      </c>
      <c r="Q137" s="236" t="s">
        <v>277</v>
      </c>
      <c r="S137" s="57" t="s">
        <v>1972</v>
      </c>
      <c r="T137" s="57" t="s">
        <v>1973</v>
      </c>
      <c r="U137" s="58" t="s">
        <v>1674</v>
      </c>
      <c r="V137" s="57" t="s">
        <v>1673</v>
      </c>
      <c r="W137" s="57" t="s">
        <v>1674</v>
      </c>
      <c r="X137" s="57" t="s">
        <v>1799</v>
      </c>
      <c r="Y137" s="504"/>
      <c r="Z137" s="145" t="s">
        <v>276</v>
      </c>
      <c r="AA137" s="146">
        <v>9750</v>
      </c>
      <c r="AB137" s="506" t="s">
        <v>1944</v>
      </c>
      <c r="AC137" s="490" t="s">
        <v>277</v>
      </c>
    </row>
    <row r="138" spans="2:29" ht="12.75">
      <c r="B138" s="57" t="s">
        <v>1972</v>
      </c>
      <c r="C138" s="57" t="s">
        <v>1973</v>
      </c>
      <c r="D138" s="58" t="s">
        <v>1674</v>
      </c>
      <c r="E138" s="57" t="s">
        <v>1673</v>
      </c>
      <c r="F138" s="57" t="s">
        <v>1674</v>
      </c>
      <c r="G138" s="57" t="s">
        <v>1799</v>
      </c>
      <c r="H138" s="59">
        <v>5.7600000000000001E-4</v>
      </c>
      <c r="I138" s="57">
        <v>0.85</v>
      </c>
      <c r="J138" s="78">
        <v>1.8083160330012618</v>
      </c>
      <c r="K138" s="84" t="s">
        <v>274</v>
      </c>
      <c r="L138" s="524"/>
      <c r="M138" s="62">
        <v>6.0999999999999999E-2</v>
      </c>
      <c r="N138" s="84" t="s">
        <v>276</v>
      </c>
      <c r="O138" s="522"/>
      <c r="P138" s="57" t="s">
        <v>1944</v>
      </c>
      <c r="Q138" s="236" t="s">
        <v>277</v>
      </c>
      <c r="S138" s="57" t="s">
        <v>1972</v>
      </c>
      <c r="T138" s="57" t="s">
        <v>1973</v>
      </c>
      <c r="U138" s="58" t="s">
        <v>1674</v>
      </c>
      <c r="V138" s="57" t="s">
        <v>1673</v>
      </c>
      <c r="W138" s="57" t="s">
        <v>1674</v>
      </c>
      <c r="X138" s="57" t="s">
        <v>1799</v>
      </c>
      <c r="Y138" s="504"/>
      <c r="Z138" s="147" t="s">
        <v>274</v>
      </c>
      <c r="AA138" s="148">
        <v>16250</v>
      </c>
      <c r="AB138" s="506"/>
      <c r="AC138" s="490"/>
    </row>
    <row r="139" spans="2:29" ht="12.75">
      <c r="B139" s="57" t="s">
        <v>1972</v>
      </c>
      <c r="C139" s="57" t="s">
        <v>1973</v>
      </c>
      <c r="D139" s="58" t="s">
        <v>1674</v>
      </c>
      <c r="E139" s="57" t="s">
        <v>1673</v>
      </c>
      <c r="F139" s="57" t="s">
        <v>1674</v>
      </c>
      <c r="G139" s="57" t="s">
        <v>1799</v>
      </c>
      <c r="H139" s="59">
        <v>5.7600000000000001E-4</v>
      </c>
      <c r="I139" s="57">
        <v>0.85</v>
      </c>
      <c r="J139" s="78">
        <v>1.8083160330012618</v>
      </c>
      <c r="K139" s="84" t="s">
        <v>276</v>
      </c>
      <c r="L139" s="524"/>
      <c r="M139" s="62">
        <v>6.0999999999999999E-2</v>
      </c>
      <c r="N139" s="84" t="s">
        <v>276</v>
      </c>
      <c r="O139" s="522"/>
      <c r="P139" s="57" t="s">
        <v>1945</v>
      </c>
      <c r="Q139" s="237" t="s">
        <v>256</v>
      </c>
      <c r="S139" s="57" t="s">
        <v>1972</v>
      </c>
      <c r="T139" s="57" t="s">
        <v>1973</v>
      </c>
      <c r="U139" s="58" t="s">
        <v>1674</v>
      </c>
      <c r="V139" s="57" t="s">
        <v>1673</v>
      </c>
      <c r="W139" s="57" t="s">
        <v>1674</v>
      </c>
      <c r="X139" s="57" t="s">
        <v>1799</v>
      </c>
      <c r="Y139" s="504"/>
      <c r="Z139" s="143" t="s">
        <v>276</v>
      </c>
      <c r="AA139" s="144">
        <v>16250</v>
      </c>
      <c r="AB139" s="57" t="s">
        <v>1946</v>
      </c>
      <c r="AC139" s="239" t="s">
        <v>256</v>
      </c>
    </row>
    <row r="140" spans="2:29" ht="12.75">
      <c r="B140" s="47" t="s">
        <v>1972</v>
      </c>
      <c r="C140" s="47" t="s">
        <v>1973</v>
      </c>
      <c r="D140" s="48" t="s">
        <v>1674</v>
      </c>
      <c r="E140" s="47" t="s">
        <v>1673</v>
      </c>
      <c r="F140" s="47" t="s">
        <v>1673</v>
      </c>
      <c r="G140" s="47" t="s">
        <v>1778</v>
      </c>
      <c r="H140" s="49" t="s">
        <v>1984</v>
      </c>
      <c r="I140" s="47">
        <v>0.85</v>
      </c>
      <c r="J140" s="78">
        <v>1.0206651894542498</v>
      </c>
      <c r="K140" s="80" t="s">
        <v>274</v>
      </c>
      <c r="L140" s="510">
        <v>1.6401708719887149</v>
      </c>
      <c r="M140" s="62">
        <v>5.5E-2</v>
      </c>
      <c r="N140" s="80" t="s">
        <v>274</v>
      </c>
      <c r="O140" s="513" t="s">
        <v>1975</v>
      </c>
      <c r="P140" s="35" t="s">
        <v>1523</v>
      </c>
      <c r="Q140" s="235" t="s">
        <v>275</v>
      </c>
      <c r="S140" s="35" t="s">
        <v>1972</v>
      </c>
      <c r="T140" s="35" t="s">
        <v>1973</v>
      </c>
      <c r="U140" s="36" t="s">
        <v>1674</v>
      </c>
      <c r="V140" s="35" t="s">
        <v>1673</v>
      </c>
      <c r="W140" s="35" t="s">
        <v>1673</v>
      </c>
      <c r="X140" s="35" t="s">
        <v>1778</v>
      </c>
      <c r="Y140" s="496">
        <v>12000</v>
      </c>
      <c r="Z140" s="149" t="s">
        <v>274</v>
      </c>
      <c r="AA140" s="150">
        <v>9000</v>
      </c>
      <c r="AB140" s="35" t="s">
        <v>1943</v>
      </c>
      <c r="AC140" s="238" t="s">
        <v>275</v>
      </c>
    </row>
    <row r="141" spans="2:29" ht="12.75">
      <c r="B141" s="47" t="s">
        <v>1972</v>
      </c>
      <c r="C141" s="47" t="s">
        <v>1973</v>
      </c>
      <c r="D141" s="48" t="s">
        <v>1674</v>
      </c>
      <c r="E141" s="47" t="s">
        <v>1673</v>
      </c>
      <c r="F141" s="47" t="s">
        <v>1673</v>
      </c>
      <c r="G141" s="47" t="s">
        <v>1778</v>
      </c>
      <c r="H141" s="49" t="s">
        <v>1984</v>
      </c>
      <c r="I141" s="47">
        <v>0.85</v>
      </c>
      <c r="J141" s="78">
        <v>1.0206651894542498</v>
      </c>
      <c r="K141" s="80" t="s">
        <v>276</v>
      </c>
      <c r="L141" s="510"/>
      <c r="M141" s="62">
        <v>5.5E-2</v>
      </c>
      <c r="N141" s="80" t="s">
        <v>274</v>
      </c>
      <c r="O141" s="513"/>
      <c r="P141" s="35" t="s">
        <v>1944</v>
      </c>
      <c r="Q141" s="236" t="s">
        <v>277</v>
      </c>
      <c r="S141" s="35" t="s">
        <v>1972</v>
      </c>
      <c r="T141" s="35" t="s">
        <v>1973</v>
      </c>
      <c r="U141" s="36" t="s">
        <v>1674</v>
      </c>
      <c r="V141" s="35" t="s">
        <v>1673</v>
      </c>
      <c r="W141" s="35" t="s">
        <v>1673</v>
      </c>
      <c r="X141" s="35" t="s">
        <v>1778</v>
      </c>
      <c r="Y141" s="496"/>
      <c r="Z141" s="151" t="s">
        <v>276</v>
      </c>
      <c r="AA141" s="152">
        <v>9000</v>
      </c>
      <c r="AB141" s="491" t="s">
        <v>1944</v>
      </c>
      <c r="AC141" s="490" t="s">
        <v>277</v>
      </c>
    </row>
    <row r="142" spans="2:29" ht="12.75">
      <c r="B142" s="47" t="s">
        <v>1972</v>
      </c>
      <c r="C142" s="47" t="s">
        <v>1973</v>
      </c>
      <c r="D142" s="48" t="s">
        <v>1674</v>
      </c>
      <c r="E142" s="47" t="s">
        <v>1673</v>
      </c>
      <c r="F142" s="47" t="s">
        <v>1673</v>
      </c>
      <c r="G142" s="47" t="s">
        <v>1778</v>
      </c>
      <c r="H142" s="49">
        <v>3.48E-4</v>
      </c>
      <c r="I142" s="47">
        <v>0.85</v>
      </c>
      <c r="J142" s="78">
        <v>1.0206651894542498</v>
      </c>
      <c r="K142" s="80" t="s">
        <v>274</v>
      </c>
      <c r="L142" s="510"/>
      <c r="M142" s="62">
        <v>5.5E-2</v>
      </c>
      <c r="N142" s="80" t="s">
        <v>276</v>
      </c>
      <c r="O142" s="513"/>
      <c r="P142" s="35" t="s">
        <v>1944</v>
      </c>
      <c r="Q142" s="236" t="s">
        <v>277</v>
      </c>
      <c r="S142" s="35" t="s">
        <v>1972</v>
      </c>
      <c r="T142" s="35" t="s">
        <v>1973</v>
      </c>
      <c r="U142" s="36" t="s">
        <v>1674</v>
      </c>
      <c r="V142" s="35" t="s">
        <v>1673</v>
      </c>
      <c r="W142" s="35" t="s">
        <v>1673</v>
      </c>
      <c r="X142" s="35" t="s">
        <v>1778</v>
      </c>
      <c r="Y142" s="496"/>
      <c r="Z142" s="153" t="s">
        <v>274</v>
      </c>
      <c r="AA142" s="154">
        <v>15000</v>
      </c>
      <c r="AB142" s="491"/>
      <c r="AC142" s="490"/>
    </row>
    <row r="143" spans="2:29" ht="12.75">
      <c r="B143" s="47" t="s">
        <v>1972</v>
      </c>
      <c r="C143" s="47" t="s">
        <v>1973</v>
      </c>
      <c r="D143" s="48" t="s">
        <v>1674</v>
      </c>
      <c r="E143" s="47" t="s">
        <v>1673</v>
      </c>
      <c r="F143" s="47" t="s">
        <v>1673</v>
      </c>
      <c r="G143" s="47" t="s">
        <v>1778</v>
      </c>
      <c r="H143" s="49">
        <v>3.48E-4</v>
      </c>
      <c r="I143" s="47">
        <v>0.85</v>
      </c>
      <c r="J143" s="78">
        <v>1.0206651894542498</v>
      </c>
      <c r="K143" s="80" t="s">
        <v>276</v>
      </c>
      <c r="L143" s="510"/>
      <c r="M143" s="62">
        <v>5.5E-2</v>
      </c>
      <c r="N143" s="80" t="s">
        <v>276</v>
      </c>
      <c r="O143" s="513"/>
      <c r="P143" s="35" t="s">
        <v>1945</v>
      </c>
      <c r="Q143" s="237" t="s">
        <v>256</v>
      </c>
      <c r="S143" s="35" t="s">
        <v>1972</v>
      </c>
      <c r="T143" s="35" t="s">
        <v>1973</v>
      </c>
      <c r="U143" s="36" t="s">
        <v>1674</v>
      </c>
      <c r="V143" s="35" t="s">
        <v>1673</v>
      </c>
      <c r="W143" s="35" t="s">
        <v>1673</v>
      </c>
      <c r="X143" s="35" t="s">
        <v>1778</v>
      </c>
      <c r="Y143" s="496"/>
      <c r="Z143" s="149" t="s">
        <v>276</v>
      </c>
      <c r="AA143" s="150">
        <v>15000</v>
      </c>
      <c r="AB143" s="35" t="s">
        <v>1946</v>
      </c>
      <c r="AC143" s="239" t="s">
        <v>256</v>
      </c>
    </row>
    <row r="144" spans="2:29" ht="12.75">
      <c r="B144" s="57" t="s">
        <v>1972</v>
      </c>
      <c r="C144" s="57" t="s">
        <v>1973</v>
      </c>
      <c r="D144" s="58" t="s">
        <v>1674</v>
      </c>
      <c r="E144" s="57" t="s">
        <v>1673</v>
      </c>
      <c r="F144" s="57" t="s">
        <v>1673</v>
      </c>
      <c r="G144" s="57" t="s">
        <v>1781</v>
      </c>
      <c r="H144" s="59" t="s">
        <v>1985</v>
      </c>
      <c r="I144" s="57">
        <v>0.85</v>
      </c>
      <c r="J144" s="78">
        <v>0.85609843863051382</v>
      </c>
      <c r="K144" s="84" t="s">
        <v>274</v>
      </c>
      <c r="L144" s="524">
        <v>1.6401708719887149</v>
      </c>
      <c r="M144" s="62">
        <v>6.0999999999999999E-2</v>
      </c>
      <c r="N144" s="84" t="s">
        <v>274</v>
      </c>
      <c r="O144" s="522" t="s">
        <v>1975</v>
      </c>
      <c r="P144" s="57" t="s">
        <v>1523</v>
      </c>
      <c r="Q144" s="235" t="s">
        <v>275</v>
      </c>
      <c r="S144" s="57" t="s">
        <v>1972</v>
      </c>
      <c r="T144" s="57" t="s">
        <v>1973</v>
      </c>
      <c r="U144" s="58" t="s">
        <v>1674</v>
      </c>
      <c r="V144" s="57" t="s">
        <v>1673</v>
      </c>
      <c r="W144" s="57" t="s">
        <v>1673</v>
      </c>
      <c r="X144" s="57" t="s">
        <v>1781</v>
      </c>
      <c r="Y144" s="504">
        <v>8000</v>
      </c>
      <c r="Z144" s="143" t="s">
        <v>274</v>
      </c>
      <c r="AA144" s="144">
        <v>6000</v>
      </c>
      <c r="AB144" s="57" t="s">
        <v>1943</v>
      </c>
      <c r="AC144" s="238" t="s">
        <v>275</v>
      </c>
    </row>
    <row r="145" spans="2:30" ht="12.75">
      <c r="B145" s="57" t="s">
        <v>1972</v>
      </c>
      <c r="C145" s="57" t="s">
        <v>1973</v>
      </c>
      <c r="D145" s="58" t="s">
        <v>1674</v>
      </c>
      <c r="E145" s="57" t="s">
        <v>1673</v>
      </c>
      <c r="F145" s="57" t="s">
        <v>1673</v>
      </c>
      <c r="G145" s="57" t="s">
        <v>1781</v>
      </c>
      <c r="H145" s="59" t="s">
        <v>1985</v>
      </c>
      <c r="I145" s="57">
        <v>0.85</v>
      </c>
      <c r="J145" s="78">
        <v>0.85609843863051382</v>
      </c>
      <c r="K145" s="84" t="s">
        <v>276</v>
      </c>
      <c r="L145" s="524"/>
      <c r="M145" s="62">
        <v>6.0999999999999999E-2</v>
      </c>
      <c r="N145" s="84" t="s">
        <v>274</v>
      </c>
      <c r="O145" s="522"/>
      <c r="P145" s="57" t="s">
        <v>1944</v>
      </c>
      <c r="Q145" s="236" t="s">
        <v>277</v>
      </c>
      <c r="S145" s="57" t="s">
        <v>1972</v>
      </c>
      <c r="T145" s="57" t="s">
        <v>1973</v>
      </c>
      <c r="U145" s="58" t="s">
        <v>1674</v>
      </c>
      <c r="V145" s="57" t="s">
        <v>1673</v>
      </c>
      <c r="W145" s="57" t="s">
        <v>1673</v>
      </c>
      <c r="X145" s="57" t="s">
        <v>1781</v>
      </c>
      <c r="Y145" s="504"/>
      <c r="Z145" s="145" t="s">
        <v>276</v>
      </c>
      <c r="AA145" s="146">
        <v>6000</v>
      </c>
      <c r="AB145" s="506" t="s">
        <v>1944</v>
      </c>
      <c r="AC145" s="490" t="s">
        <v>277</v>
      </c>
    </row>
    <row r="146" spans="2:30" ht="12.75">
      <c r="B146" s="57" t="s">
        <v>1972</v>
      </c>
      <c r="C146" s="57" t="s">
        <v>1973</v>
      </c>
      <c r="D146" s="58" t="s">
        <v>1674</v>
      </c>
      <c r="E146" s="57" t="s">
        <v>1673</v>
      </c>
      <c r="F146" s="57" t="s">
        <v>1673</v>
      </c>
      <c r="G146" s="57" t="s">
        <v>1781</v>
      </c>
      <c r="H146" s="59">
        <v>4.1200000000000004E-4</v>
      </c>
      <c r="I146" s="57">
        <v>0.85</v>
      </c>
      <c r="J146" s="78">
        <v>0.85609843863051382</v>
      </c>
      <c r="K146" s="84" t="s">
        <v>274</v>
      </c>
      <c r="L146" s="524"/>
      <c r="M146" s="62">
        <v>6.0999999999999999E-2</v>
      </c>
      <c r="N146" s="84" t="s">
        <v>276</v>
      </c>
      <c r="O146" s="522"/>
      <c r="P146" s="57" t="s">
        <v>1944</v>
      </c>
      <c r="Q146" s="236" t="s">
        <v>277</v>
      </c>
      <c r="S146" s="57" t="s">
        <v>1972</v>
      </c>
      <c r="T146" s="57" t="s">
        <v>1973</v>
      </c>
      <c r="U146" s="58" t="s">
        <v>1674</v>
      </c>
      <c r="V146" s="57" t="s">
        <v>1673</v>
      </c>
      <c r="W146" s="57" t="s">
        <v>1673</v>
      </c>
      <c r="X146" s="57" t="s">
        <v>1781</v>
      </c>
      <c r="Y146" s="504"/>
      <c r="Z146" s="147" t="s">
        <v>274</v>
      </c>
      <c r="AA146" s="148">
        <v>10000</v>
      </c>
      <c r="AB146" s="506"/>
      <c r="AC146" s="490"/>
    </row>
    <row r="147" spans="2:30" ht="12.75">
      <c r="B147" s="57" t="s">
        <v>1972</v>
      </c>
      <c r="C147" s="57" t="s">
        <v>1973</v>
      </c>
      <c r="D147" s="58" t="s">
        <v>1674</v>
      </c>
      <c r="E147" s="57" t="s">
        <v>1673</v>
      </c>
      <c r="F147" s="57" t="s">
        <v>1673</v>
      </c>
      <c r="G147" s="57" t="s">
        <v>1781</v>
      </c>
      <c r="H147" s="59">
        <v>4.1200000000000004E-4</v>
      </c>
      <c r="I147" s="57">
        <v>0.85</v>
      </c>
      <c r="J147" s="78">
        <v>0.85609843863051382</v>
      </c>
      <c r="K147" s="84" t="s">
        <v>276</v>
      </c>
      <c r="L147" s="524"/>
      <c r="M147" s="62">
        <v>6.0999999999999999E-2</v>
      </c>
      <c r="N147" s="84" t="s">
        <v>276</v>
      </c>
      <c r="O147" s="522"/>
      <c r="P147" s="57" t="s">
        <v>1945</v>
      </c>
      <c r="Q147" s="237" t="s">
        <v>256</v>
      </c>
      <c r="S147" s="57" t="s">
        <v>1972</v>
      </c>
      <c r="T147" s="57" t="s">
        <v>1973</v>
      </c>
      <c r="U147" s="58" t="s">
        <v>1674</v>
      </c>
      <c r="V147" s="57" t="s">
        <v>1673</v>
      </c>
      <c r="W147" s="57" t="s">
        <v>1673</v>
      </c>
      <c r="X147" s="57" t="s">
        <v>1781</v>
      </c>
      <c r="Y147" s="504"/>
      <c r="Z147" s="143" t="s">
        <v>276</v>
      </c>
      <c r="AA147" s="144">
        <v>10000</v>
      </c>
      <c r="AB147" s="57" t="s">
        <v>1946</v>
      </c>
      <c r="AC147" s="239" t="s">
        <v>256</v>
      </c>
      <c r="AD147" s="66"/>
    </row>
    <row r="148" spans="2:30" ht="12.75">
      <c r="B148" s="47" t="s">
        <v>1972</v>
      </c>
      <c r="C148" s="47" t="s">
        <v>1973</v>
      </c>
      <c r="D148" s="48" t="s">
        <v>1674</v>
      </c>
      <c r="E148" s="47" t="s">
        <v>1673</v>
      </c>
      <c r="F148" s="47" t="s">
        <v>1673</v>
      </c>
      <c r="G148" s="47" t="s">
        <v>1799</v>
      </c>
      <c r="H148" s="49" t="s">
        <v>1981</v>
      </c>
      <c r="I148" s="47">
        <v>0.85</v>
      </c>
      <c r="J148" s="78">
        <v>1.6325075297928058</v>
      </c>
      <c r="K148" s="80" t="s">
        <v>274</v>
      </c>
      <c r="L148" s="510">
        <v>1.6401708719887149</v>
      </c>
      <c r="M148" s="62">
        <v>6.0999999999999999E-2</v>
      </c>
      <c r="N148" s="80" t="s">
        <v>274</v>
      </c>
      <c r="O148" s="513" t="s">
        <v>1975</v>
      </c>
      <c r="P148" s="35" t="s">
        <v>1523</v>
      </c>
      <c r="Q148" s="235" t="s">
        <v>275</v>
      </c>
      <c r="S148" s="35" t="s">
        <v>1972</v>
      </c>
      <c r="T148" s="35" t="s">
        <v>1973</v>
      </c>
      <c r="U148" s="36" t="s">
        <v>1674</v>
      </c>
      <c r="V148" s="35" t="s">
        <v>1673</v>
      </c>
      <c r="W148" s="35" t="s">
        <v>1673</v>
      </c>
      <c r="X148" s="35" t="s">
        <v>1799</v>
      </c>
      <c r="Y148" s="496">
        <v>13000</v>
      </c>
      <c r="Z148" s="149" t="s">
        <v>274</v>
      </c>
      <c r="AA148" s="150">
        <v>9750</v>
      </c>
      <c r="AB148" s="35" t="s">
        <v>1943</v>
      </c>
      <c r="AC148" s="238" t="s">
        <v>275</v>
      </c>
    </row>
    <row r="149" spans="2:30" ht="12.75">
      <c r="B149" s="47" t="s">
        <v>1972</v>
      </c>
      <c r="C149" s="47" t="s">
        <v>1973</v>
      </c>
      <c r="D149" s="48" t="s">
        <v>1674</v>
      </c>
      <c r="E149" s="47" t="s">
        <v>1673</v>
      </c>
      <c r="F149" s="47" t="s">
        <v>1673</v>
      </c>
      <c r="G149" s="47" t="s">
        <v>1799</v>
      </c>
      <c r="H149" s="49">
        <v>5.2000000000000006E-4</v>
      </c>
      <c r="I149" s="47">
        <v>0.85</v>
      </c>
      <c r="J149" s="78">
        <v>1.6325075297928058</v>
      </c>
      <c r="K149" s="80" t="s">
        <v>276</v>
      </c>
      <c r="L149" s="510"/>
      <c r="M149" s="62">
        <v>6.0999999999999999E-2</v>
      </c>
      <c r="N149" s="80" t="s">
        <v>274</v>
      </c>
      <c r="O149" s="513"/>
      <c r="P149" s="35" t="s">
        <v>1944</v>
      </c>
      <c r="Q149" s="236" t="s">
        <v>277</v>
      </c>
      <c r="S149" s="35" t="s">
        <v>1972</v>
      </c>
      <c r="T149" s="35" t="s">
        <v>1973</v>
      </c>
      <c r="U149" s="36" t="s">
        <v>1674</v>
      </c>
      <c r="V149" s="35" t="s">
        <v>1673</v>
      </c>
      <c r="W149" s="35" t="s">
        <v>1673</v>
      </c>
      <c r="X149" s="35" t="s">
        <v>1799</v>
      </c>
      <c r="Y149" s="496"/>
      <c r="Z149" s="151" t="s">
        <v>276</v>
      </c>
      <c r="AA149" s="152">
        <v>9750</v>
      </c>
      <c r="AB149" s="491" t="s">
        <v>1944</v>
      </c>
      <c r="AC149" s="490" t="s">
        <v>277</v>
      </c>
    </row>
    <row r="150" spans="2:30" ht="12.75">
      <c r="B150" s="47" t="s">
        <v>1972</v>
      </c>
      <c r="C150" s="47" t="s">
        <v>1973</v>
      </c>
      <c r="D150" s="48" t="s">
        <v>1674</v>
      </c>
      <c r="E150" s="47" t="s">
        <v>1673</v>
      </c>
      <c r="F150" s="47" t="s">
        <v>1673</v>
      </c>
      <c r="G150" s="47" t="s">
        <v>1799</v>
      </c>
      <c r="H150" s="49">
        <v>5.2000000000000006E-4</v>
      </c>
      <c r="I150" s="47">
        <v>0.85</v>
      </c>
      <c r="J150" s="78">
        <v>1.6325075297928058</v>
      </c>
      <c r="K150" s="80" t="s">
        <v>274</v>
      </c>
      <c r="L150" s="510"/>
      <c r="M150" s="62">
        <v>6.0999999999999999E-2</v>
      </c>
      <c r="N150" s="80" t="s">
        <v>276</v>
      </c>
      <c r="O150" s="513"/>
      <c r="P150" s="35" t="s">
        <v>1944</v>
      </c>
      <c r="Q150" s="236" t="s">
        <v>277</v>
      </c>
      <c r="S150" s="35" t="s">
        <v>1972</v>
      </c>
      <c r="T150" s="35" t="s">
        <v>1973</v>
      </c>
      <c r="U150" s="36" t="s">
        <v>1674</v>
      </c>
      <c r="V150" s="35" t="s">
        <v>1673</v>
      </c>
      <c r="W150" s="35" t="s">
        <v>1673</v>
      </c>
      <c r="X150" s="35" t="s">
        <v>1799</v>
      </c>
      <c r="Y150" s="496"/>
      <c r="Z150" s="153" t="s">
        <v>274</v>
      </c>
      <c r="AA150" s="154">
        <v>16250</v>
      </c>
      <c r="AB150" s="491"/>
      <c r="AC150" s="490"/>
    </row>
    <row r="151" spans="2:30" ht="12.75">
      <c r="B151" s="47" t="s">
        <v>1972</v>
      </c>
      <c r="C151" s="47" t="s">
        <v>1973</v>
      </c>
      <c r="D151" s="48" t="s">
        <v>1674</v>
      </c>
      <c r="E151" s="47" t="s">
        <v>1673</v>
      </c>
      <c r="F151" s="47" t="s">
        <v>1673</v>
      </c>
      <c r="G151" s="47" t="s">
        <v>1799</v>
      </c>
      <c r="H151" s="49">
        <v>5.2000000000000006E-4</v>
      </c>
      <c r="I151" s="47">
        <v>0.85</v>
      </c>
      <c r="J151" s="78">
        <v>1.6325075297928058</v>
      </c>
      <c r="K151" s="80" t="s">
        <v>276</v>
      </c>
      <c r="L151" s="510"/>
      <c r="M151" s="62">
        <v>6.0999999999999999E-2</v>
      </c>
      <c r="N151" s="80" t="s">
        <v>276</v>
      </c>
      <c r="O151" s="513"/>
      <c r="P151" s="35" t="s">
        <v>1945</v>
      </c>
      <c r="Q151" s="237" t="s">
        <v>256</v>
      </c>
      <c r="S151" s="35" t="s">
        <v>1972</v>
      </c>
      <c r="T151" s="35" t="s">
        <v>1973</v>
      </c>
      <c r="U151" s="36" t="s">
        <v>1674</v>
      </c>
      <c r="V151" s="35" t="s">
        <v>1673</v>
      </c>
      <c r="W151" s="35" t="s">
        <v>1673</v>
      </c>
      <c r="X151" s="35" t="s">
        <v>1799</v>
      </c>
      <c r="Y151" s="496"/>
      <c r="Z151" s="149" t="s">
        <v>276</v>
      </c>
      <c r="AA151" s="150">
        <v>16250</v>
      </c>
      <c r="AB151" s="35" t="s">
        <v>1946</v>
      </c>
      <c r="AC151" s="239" t="s">
        <v>256</v>
      </c>
    </row>
    <row r="152" spans="2:30" ht="12.75">
      <c r="B152" s="57" t="s">
        <v>1972</v>
      </c>
      <c r="C152" s="57" t="s">
        <v>1973</v>
      </c>
      <c r="D152" s="58" t="s">
        <v>1673</v>
      </c>
      <c r="E152" s="57" t="s">
        <v>1674</v>
      </c>
      <c r="F152" s="57" t="s">
        <v>1674</v>
      </c>
      <c r="G152" s="57" t="s">
        <v>1778</v>
      </c>
      <c r="H152" s="59" t="s">
        <v>1986</v>
      </c>
      <c r="I152" s="57">
        <v>0.85</v>
      </c>
      <c r="J152" s="78">
        <v>2.2025447463598886</v>
      </c>
      <c r="K152" s="84" t="s">
        <v>274</v>
      </c>
      <c r="L152" s="524">
        <v>1.6401708719887149</v>
      </c>
      <c r="M152" s="62">
        <v>5.0999999999999997E-2</v>
      </c>
      <c r="N152" s="84" t="s">
        <v>274</v>
      </c>
      <c r="O152" s="522" t="s">
        <v>1975</v>
      </c>
      <c r="P152" s="57" t="s">
        <v>1523</v>
      </c>
      <c r="Q152" s="235" t="s">
        <v>275</v>
      </c>
      <c r="S152" s="57" t="s">
        <v>1972</v>
      </c>
      <c r="T152" s="57" t="s">
        <v>1973</v>
      </c>
      <c r="U152" s="58" t="s">
        <v>1673</v>
      </c>
      <c r="V152" s="57" t="s">
        <v>1674</v>
      </c>
      <c r="W152" s="57" t="s">
        <v>1674</v>
      </c>
      <c r="X152" s="57" t="s">
        <v>1778</v>
      </c>
      <c r="Y152" s="504">
        <v>9000</v>
      </c>
      <c r="Z152" s="143" t="s">
        <v>274</v>
      </c>
      <c r="AA152" s="144">
        <v>6750</v>
      </c>
      <c r="AB152" s="57" t="s">
        <v>1943</v>
      </c>
      <c r="AC152" s="238" t="s">
        <v>275</v>
      </c>
    </row>
    <row r="153" spans="2:30" ht="12.75">
      <c r="B153" s="57" t="s">
        <v>1972</v>
      </c>
      <c r="C153" s="57" t="s">
        <v>1973</v>
      </c>
      <c r="D153" s="58" t="s">
        <v>1673</v>
      </c>
      <c r="E153" s="57" t="s">
        <v>1674</v>
      </c>
      <c r="F153" s="57" t="s">
        <v>1674</v>
      </c>
      <c r="G153" s="57" t="s">
        <v>1778</v>
      </c>
      <c r="H153" s="59" t="s">
        <v>1986</v>
      </c>
      <c r="I153" s="57">
        <v>0.85</v>
      </c>
      <c r="J153" s="78">
        <v>2.2025447463598886</v>
      </c>
      <c r="K153" s="84" t="s">
        <v>276</v>
      </c>
      <c r="L153" s="524"/>
      <c r="M153" s="62">
        <v>5.0999999999999997E-2</v>
      </c>
      <c r="N153" s="84" t="s">
        <v>274</v>
      </c>
      <c r="O153" s="522"/>
      <c r="P153" s="57" t="s">
        <v>1944</v>
      </c>
      <c r="Q153" s="236" t="s">
        <v>277</v>
      </c>
      <c r="S153" s="57" t="s">
        <v>1972</v>
      </c>
      <c r="T153" s="57" t="s">
        <v>1973</v>
      </c>
      <c r="U153" s="58" t="s">
        <v>1673</v>
      </c>
      <c r="V153" s="57" t="s">
        <v>1674</v>
      </c>
      <c r="W153" s="57" t="s">
        <v>1674</v>
      </c>
      <c r="X153" s="57" t="s">
        <v>1778</v>
      </c>
      <c r="Y153" s="504"/>
      <c r="Z153" s="145" t="s">
        <v>276</v>
      </c>
      <c r="AA153" s="146">
        <v>6750</v>
      </c>
      <c r="AB153" s="506" t="s">
        <v>1944</v>
      </c>
      <c r="AC153" s="490" t="s">
        <v>277</v>
      </c>
    </row>
    <row r="154" spans="2:30" ht="12.75">
      <c r="B154" s="57" t="s">
        <v>1972</v>
      </c>
      <c r="C154" s="57" t="s">
        <v>1973</v>
      </c>
      <c r="D154" s="58" t="s">
        <v>1673</v>
      </c>
      <c r="E154" s="57" t="s">
        <v>1674</v>
      </c>
      <c r="F154" s="57" t="s">
        <v>1674</v>
      </c>
      <c r="G154" s="57" t="s">
        <v>1778</v>
      </c>
      <c r="H154" s="59">
        <v>9.59E-4</v>
      </c>
      <c r="I154" s="57">
        <v>0.85</v>
      </c>
      <c r="J154" s="78">
        <v>2.2025447463598886</v>
      </c>
      <c r="K154" s="84" t="s">
        <v>274</v>
      </c>
      <c r="L154" s="524"/>
      <c r="M154" s="62">
        <v>5.0999999999999997E-2</v>
      </c>
      <c r="N154" s="84" t="s">
        <v>276</v>
      </c>
      <c r="O154" s="522"/>
      <c r="P154" s="57" t="s">
        <v>1944</v>
      </c>
      <c r="Q154" s="236" t="s">
        <v>277</v>
      </c>
      <c r="S154" s="57" t="s">
        <v>1972</v>
      </c>
      <c r="T154" s="57" t="s">
        <v>1973</v>
      </c>
      <c r="U154" s="58" t="s">
        <v>1673</v>
      </c>
      <c r="V154" s="57" t="s">
        <v>1674</v>
      </c>
      <c r="W154" s="57" t="s">
        <v>1674</v>
      </c>
      <c r="X154" s="57" t="s">
        <v>1778</v>
      </c>
      <c r="Y154" s="504"/>
      <c r="Z154" s="147" t="s">
        <v>274</v>
      </c>
      <c r="AA154" s="148">
        <v>11250</v>
      </c>
      <c r="AB154" s="506"/>
      <c r="AC154" s="490"/>
    </row>
    <row r="155" spans="2:30" ht="12.75">
      <c r="B155" s="57" t="s">
        <v>1972</v>
      </c>
      <c r="C155" s="57" t="s">
        <v>1973</v>
      </c>
      <c r="D155" s="58" t="s">
        <v>1673</v>
      </c>
      <c r="E155" s="57" t="s">
        <v>1674</v>
      </c>
      <c r="F155" s="57" t="s">
        <v>1674</v>
      </c>
      <c r="G155" s="57" t="s">
        <v>1778</v>
      </c>
      <c r="H155" s="59">
        <v>9.59E-4</v>
      </c>
      <c r="I155" s="57">
        <v>0.85</v>
      </c>
      <c r="J155" s="78">
        <v>2.2025447463598886</v>
      </c>
      <c r="K155" s="84" t="s">
        <v>276</v>
      </c>
      <c r="L155" s="524"/>
      <c r="M155" s="62">
        <v>5.0999999999999997E-2</v>
      </c>
      <c r="N155" s="84" t="s">
        <v>276</v>
      </c>
      <c r="O155" s="522"/>
      <c r="P155" s="57" t="s">
        <v>1945</v>
      </c>
      <c r="Q155" s="237" t="s">
        <v>256</v>
      </c>
      <c r="S155" s="57" t="s">
        <v>1972</v>
      </c>
      <c r="T155" s="57" t="s">
        <v>1973</v>
      </c>
      <c r="U155" s="58" t="s">
        <v>1673</v>
      </c>
      <c r="V155" s="57" t="s">
        <v>1674</v>
      </c>
      <c r="W155" s="57" t="s">
        <v>1674</v>
      </c>
      <c r="X155" s="57" t="s">
        <v>1778</v>
      </c>
      <c r="Y155" s="504"/>
      <c r="Z155" s="143" t="s">
        <v>276</v>
      </c>
      <c r="AA155" s="144">
        <v>11250</v>
      </c>
      <c r="AB155" s="57" t="s">
        <v>1946</v>
      </c>
      <c r="AC155" s="239" t="s">
        <v>256</v>
      </c>
    </row>
    <row r="156" spans="2:30" ht="12.75">
      <c r="B156" s="47" t="s">
        <v>1972</v>
      </c>
      <c r="C156" s="47" t="s">
        <v>1973</v>
      </c>
      <c r="D156" s="48" t="s">
        <v>1673</v>
      </c>
      <c r="E156" s="47" t="s">
        <v>1674</v>
      </c>
      <c r="F156" s="47" t="s">
        <v>1674</v>
      </c>
      <c r="G156" s="47" t="s">
        <v>1781</v>
      </c>
      <c r="H156" s="49" t="s">
        <v>1987</v>
      </c>
      <c r="I156" s="47">
        <v>0.85</v>
      </c>
      <c r="J156" s="78">
        <v>1.85495515284438</v>
      </c>
      <c r="K156" s="80" t="s">
        <v>274</v>
      </c>
      <c r="L156" s="510">
        <v>1.6401708719887149</v>
      </c>
      <c r="M156" s="62">
        <v>6.6000000000000003E-2</v>
      </c>
      <c r="N156" s="80" t="s">
        <v>274</v>
      </c>
      <c r="O156" s="513" t="s">
        <v>1975</v>
      </c>
      <c r="P156" s="35" t="s">
        <v>1523</v>
      </c>
      <c r="Q156" s="235" t="s">
        <v>275</v>
      </c>
      <c r="S156" s="35" t="s">
        <v>1972</v>
      </c>
      <c r="T156" s="35" t="s">
        <v>1973</v>
      </c>
      <c r="U156" s="36" t="s">
        <v>1673</v>
      </c>
      <c r="V156" s="35" t="s">
        <v>1674</v>
      </c>
      <c r="W156" s="35" t="s">
        <v>1674</v>
      </c>
      <c r="X156" s="35" t="s">
        <v>1781</v>
      </c>
      <c r="Y156" s="496">
        <v>6000</v>
      </c>
      <c r="Z156" s="149" t="s">
        <v>274</v>
      </c>
      <c r="AA156" s="150">
        <v>4500</v>
      </c>
      <c r="AB156" s="35" t="s">
        <v>1943</v>
      </c>
      <c r="AC156" s="238" t="s">
        <v>275</v>
      </c>
    </row>
    <row r="157" spans="2:30" ht="12.75">
      <c r="B157" s="47" t="s">
        <v>1972</v>
      </c>
      <c r="C157" s="47" t="s">
        <v>1973</v>
      </c>
      <c r="D157" s="48" t="s">
        <v>1673</v>
      </c>
      <c r="E157" s="47" t="s">
        <v>1674</v>
      </c>
      <c r="F157" s="47" t="s">
        <v>1674</v>
      </c>
      <c r="G157" s="47" t="s">
        <v>1781</v>
      </c>
      <c r="H157" s="49" t="s">
        <v>1987</v>
      </c>
      <c r="I157" s="47">
        <v>0.85</v>
      </c>
      <c r="J157" s="78">
        <v>1.85495515284438</v>
      </c>
      <c r="K157" s="80" t="s">
        <v>276</v>
      </c>
      <c r="L157" s="510"/>
      <c r="M157" s="62">
        <v>6.6000000000000003E-2</v>
      </c>
      <c r="N157" s="80" t="s">
        <v>274</v>
      </c>
      <c r="O157" s="513"/>
      <c r="P157" s="35" t="s">
        <v>1944</v>
      </c>
      <c r="Q157" s="236" t="s">
        <v>277</v>
      </c>
      <c r="S157" s="35" t="s">
        <v>1972</v>
      </c>
      <c r="T157" s="35" t="s">
        <v>1973</v>
      </c>
      <c r="U157" s="36" t="s">
        <v>1673</v>
      </c>
      <c r="V157" s="35" t="s">
        <v>1674</v>
      </c>
      <c r="W157" s="35" t="s">
        <v>1674</v>
      </c>
      <c r="X157" s="35" t="s">
        <v>1781</v>
      </c>
      <c r="Y157" s="496"/>
      <c r="Z157" s="151" t="s">
        <v>276</v>
      </c>
      <c r="AA157" s="152">
        <v>4500</v>
      </c>
      <c r="AB157" s="491" t="s">
        <v>1944</v>
      </c>
      <c r="AC157" s="490" t="s">
        <v>277</v>
      </c>
    </row>
    <row r="158" spans="2:30" ht="12.75">
      <c r="B158" s="47" t="s">
        <v>1972</v>
      </c>
      <c r="C158" s="47" t="s">
        <v>1973</v>
      </c>
      <c r="D158" s="48" t="s">
        <v>1673</v>
      </c>
      <c r="E158" s="47" t="s">
        <v>1674</v>
      </c>
      <c r="F158" s="47" t="s">
        <v>1674</v>
      </c>
      <c r="G158" s="47" t="s">
        <v>1781</v>
      </c>
      <c r="H158" s="49">
        <v>1.14E-3</v>
      </c>
      <c r="I158" s="47">
        <v>0.85</v>
      </c>
      <c r="J158" s="78">
        <v>1.85495515284438</v>
      </c>
      <c r="K158" s="80" t="s">
        <v>274</v>
      </c>
      <c r="L158" s="510"/>
      <c r="M158" s="62">
        <v>6.6000000000000003E-2</v>
      </c>
      <c r="N158" s="80" t="s">
        <v>276</v>
      </c>
      <c r="O158" s="513"/>
      <c r="P158" s="35" t="s">
        <v>1944</v>
      </c>
      <c r="Q158" s="236" t="s">
        <v>277</v>
      </c>
      <c r="S158" s="35" t="s">
        <v>1972</v>
      </c>
      <c r="T158" s="35" t="s">
        <v>1973</v>
      </c>
      <c r="U158" s="36" t="s">
        <v>1673</v>
      </c>
      <c r="V158" s="35" t="s">
        <v>1674</v>
      </c>
      <c r="W158" s="35" t="s">
        <v>1674</v>
      </c>
      <c r="X158" s="35" t="s">
        <v>1781</v>
      </c>
      <c r="Y158" s="496"/>
      <c r="Z158" s="153" t="s">
        <v>274</v>
      </c>
      <c r="AA158" s="154">
        <v>7500</v>
      </c>
      <c r="AB158" s="491"/>
      <c r="AC158" s="490"/>
    </row>
    <row r="159" spans="2:30" ht="12.75">
      <c r="B159" s="47" t="s">
        <v>1972</v>
      </c>
      <c r="C159" s="47" t="s">
        <v>1973</v>
      </c>
      <c r="D159" s="48" t="s">
        <v>1673</v>
      </c>
      <c r="E159" s="47" t="s">
        <v>1674</v>
      </c>
      <c r="F159" s="47" t="s">
        <v>1674</v>
      </c>
      <c r="G159" s="47" t="s">
        <v>1781</v>
      </c>
      <c r="H159" s="49">
        <v>1.14E-3</v>
      </c>
      <c r="I159" s="47">
        <v>0.85</v>
      </c>
      <c r="J159" s="78">
        <v>1.85495515284438</v>
      </c>
      <c r="K159" s="80" t="s">
        <v>276</v>
      </c>
      <c r="L159" s="510"/>
      <c r="M159" s="62">
        <v>6.6000000000000003E-2</v>
      </c>
      <c r="N159" s="80" t="s">
        <v>276</v>
      </c>
      <c r="O159" s="513"/>
      <c r="P159" s="35" t="s">
        <v>1945</v>
      </c>
      <c r="Q159" s="237" t="s">
        <v>256</v>
      </c>
      <c r="S159" s="35" t="s">
        <v>1972</v>
      </c>
      <c r="T159" s="35" t="s">
        <v>1973</v>
      </c>
      <c r="U159" s="36" t="s">
        <v>1673</v>
      </c>
      <c r="V159" s="35" t="s">
        <v>1674</v>
      </c>
      <c r="W159" s="35" t="s">
        <v>1674</v>
      </c>
      <c r="X159" s="35" t="s">
        <v>1781</v>
      </c>
      <c r="Y159" s="496"/>
      <c r="Z159" s="149" t="s">
        <v>276</v>
      </c>
      <c r="AA159" s="150">
        <v>7500</v>
      </c>
      <c r="AB159" s="35" t="s">
        <v>1946</v>
      </c>
      <c r="AC159" s="239" t="s">
        <v>256</v>
      </c>
    </row>
    <row r="160" spans="2:30" ht="12.75">
      <c r="B160" s="57" t="s">
        <v>1972</v>
      </c>
      <c r="C160" s="57" t="s">
        <v>1973</v>
      </c>
      <c r="D160" s="58" t="s">
        <v>1673</v>
      </c>
      <c r="E160" s="57" t="s">
        <v>1674</v>
      </c>
      <c r="F160" s="57" t="s">
        <v>1674</v>
      </c>
      <c r="G160" s="57" t="s">
        <v>1799</v>
      </c>
      <c r="H160" s="59" t="s">
        <v>1988</v>
      </c>
      <c r="I160" s="57">
        <v>0.85</v>
      </c>
      <c r="J160" s="78">
        <v>2.6625996174001565</v>
      </c>
      <c r="K160" s="84" t="s">
        <v>274</v>
      </c>
      <c r="L160" s="524">
        <v>1.6401708719887149</v>
      </c>
      <c r="M160" s="62">
        <v>6.6000000000000003E-2</v>
      </c>
      <c r="N160" s="84" t="s">
        <v>274</v>
      </c>
      <c r="O160" s="522" t="s">
        <v>1975</v>
      </c>
      <c r="P160" s="57" t="s">
        <v>1523</v>
      </c>
      <c r="Q160" s="235" t="s">
        <v>275</v>
      </c>
      <c r="S160" s="57" t="s">
        <v>1972</v>
      </c>
      <c r="T160" s="57" t="s">
        <v>1973</v>
      </c>
      <c r="U160" s="58" t="s">
        <v>1673</v>
      </c>
      <c r="V160" s="57" t="s">
        <v>1674</v>
      </c>
      <c r="W160" s="57" t="s">
        <v>1674</v>
      </c>
      <c r="X160" s="57" t="s">
        <v>1799</v>
      </c>
      <c r="Y160" s="504">
        <v>10000</v>
      </c>
      <c r="Z160" s="143" t="s">
        <v>274</v>
      </c>
      <c r="AA160" s="144">
        <v>7500</v>
      </c>
      <c r="AB160" s="57" t="s">
        <v>1943</v>
      </c>
      <c r="AC160" s="238" t="s">
        <v>275</v>
      </c>
    </row>
    <row r="161" spans="2:30" ht="12.75">
      <c r="B161" s="57" t="s">
        <v>1972</v>
      </c>
      <c r="C161" s="57" t="s">
        <v>1973</v>
      </c>
      <c r="D161" s="58" t="s">
        <v>1673</v>
      </c>
      <c r="E161" s="57" t="s">
        <v>1674</v>
      </c>
      <c r="F161" s="57" t="s">
        <v>1674</v>
      </c>
      <c r="G161" s="57" t="s">
        <v>1799</v>
      </c>
      <c r="H161" s="59" t="s">
        <v>1988</v>
      </c>
      <c r="I161" s="57">
        <v>0.85</v>
      </c>
      <c r="J161" s="78">
        <v>2.6625996174001565</v>
      </c>
      <c r="K161" s="84" t="s">
        <v>276</v>
      </c>
      <c r="L161" s="524"/>
      <c r="M161" s="62">
        <v>6.6000000000000003E-2</v>
      </c>
      <c r="N161" s="84" t="s">
        <v>274</v>
      </c>
      <c r="O161" s="522"/>
      <c r="P161" s="57" t="s">
        <v>1944</v>
      </c>
      <c r="Q161" s="236" t="s">
        <v>277</v>
      </c>
      <c r="S161" s="57" t="s">
        <v>1972</v>
      </c>
      <c r="T161" s="57" t="s">
        <v>1973</v>
      </c>
      <c r="U161" s="58" t="s">
        <v>1673</v>
      </c>
      <c r="V161" s="57" t="s">
        <v>1674</v>
      </c>
      <c r="W161" s="57" t="s">
        <v>1674</v>
      </c>
      <c r="X161" s="57" t="s">
        <v>1799</v>
      </c>
      <c r="Y161" s="504"/>
      <c r="Z161" s="145" t="s">
        <v>276</v>
      </c>
      <c r="AA161" s="146">
        <v>7500</v>
      </c>
      <c r="AB161" s="506" t="s">
        <v>1944</v>
      </c>
      <c r="AC161" s="490" t="s">
        <v>277</v>
      </c>
    </row>
    <row r="162" spans="2:30" ht="12.75">
      <c r="B162" s="57" t="s">
        <v>1972</v>
      </c>
      <c r="C162" s="57" t="s">
        <v>1973</v>
      </c>
      <c r="D162" s="58" t="s">
        <v>1673</v>
      </c>
      <c r="E162" s="57" t="s">
        <v>1674</v>
      </c>
      <c r="F162" s="57" t="s">
        <v>1674</v>
      </c>
      <c r="G162" s="57" t="s">
        <v>1799</v>
      </c>
      <c r="H162" s="59">
        <v>1.0600000000000002E-3</v>
      </c>
      <c r="I162" s="57">
        <v>0.85</v>
      </c>
      <c r="J162" s="78">
        <v>2.6625996174001565</v>
      </c>
      <c r="K162" s="84" t="s">
        <v>274</v>
      </c>
      <c r="L162" s="524"/>
      <c r="M162" s="62">
        <v>6.6000000000000003E-2</v>
      </c>
      <c r="N162" s="84" t="s">
        <v>276</v>
      </c>
      <c r="O162" s="522"/>
      <c r="P162" s="57" t="s">
        <v>1944</v>
      </c>
      <c r="Q162" s="236" t="s">
        <v>277</v>
      </c>
      <c r="S162" s="57" t="s">
        <v>1972</v>
      </c>
      <c r="T162" s="57" t="s">
        <v>1973</v>
      </c>
      <c r="U162" s="58" t="s">
        <v>1673</v>
      </c>
      <c r="V162" s="57" t="s">
        <v>1674</v>
      </c>
      <c r="W162" s="57" t="s">
        <v>1674</v>
      </c>
      <c r="X162" s="57" t="s">
        <v>1799</v>
      </c>
      <c r="Y162" s="504"/>
      <c r="Z162" s="147" t="s">
        <v>274</v>
      </c>
      <c r="AA162" s="148">
        <v>12500</v>
      </c>
      <c r="AB162" s="506"/>
      <c r="AC162" s="490"/>
    </row>
    <row r="163" spans="2:30" ht="12.75">
      <c r="B163" s="57" t="s">
        <v>1972</v>
      </c>
      <c r="C163" s="57" t="s">
        <v>1973</v>
      </c>
      <c r="D163" s="58" t="s">
        <v>1673</v>
      </c>
      <c r="E163" s="57" t="s">
        <v>1674</v>
      </c>
      <c r="F163" s="57" t="s">
        <v>1674</v>
      </c>
      <c r="G163" s="57" t="s">
        <v>1799</v>
      </c>
      <c r="H163" s="59">
        <v>1.0600000000000002E-3</v>
      </c>
      <c r="I163" s="57">
        <v>0.85</v>
      </c>
      <c r="J163" s="78">
        <v>2.6625996174001565</v>
      </c>
      <c r="K163" s="84" t="s">
        <v>276</v>
      </c>
      <c r="L163" s="524"/>
      <c r="M163" s="62">
        <v>6.6000000000000003E-2</v>
      </c>
      <c r="N163" s="84" t="s">
        <v>276</v>
      </c>
      <c r="O163" s="522"/>
      <c r="P163" s="57" t="s">
        <v>1945</v>
      </c>
      <c r="Q163" s="237" t="s">
        <v>256</v>
      </c>
      <c r="S163" s="57" t="s">
        <v>1972</v>
      </c>
      <c r="T163" s="57" t="s">
        <v>1973</v>
      </c>
      <c r="U163" s="58" t="s">
        <v>1673</v>
      </c>
      <c r="V163" s="57" t="s">
        <v>1674</v>
      </c>
      <c r="W163" s="57" t="s">
        <v>1674</v>
      </c>
      <c r="X163" s="57" t="s">
        <v>1799</v>
      </c>
      <c r="Y163" s="504"/>
      <c r="Z163" s="143" t="s">
        <v>276</v>
      </c>
      <c r="AA163" s="144">
        <v>12500</v>
      </c>
      <c r="AB163" s="57" t="s">
        <v>1946</v>
      </c>
      <c r="AC163" s="239" t="s">
        <v>256</v>
      </c>
    </row>
    <row r="164" spans="2:30" ht="12.75">
      <c r="B164" s="47" t="s">
        <v>1972</v>
      </c>
      <c r="C164" s="47" t="s">
        <v>1973</v>
      </c>
      <c r="D164" s="48" t="s">
        <v>1673</v>
      </c>
      <c r="E164" s="47" t="s">
        <v>1674</v>
      </c>
      <c r="F164" s="47" t="s">
        <v>1673</v>
      </c>
      <c r="G164" s="47" t="s">
        <v>1778</v>
      </c>
      <c r="H164" s="49" t="s">
        <v>1989</v>
      </c>
      <c r="I164" s="47">
        <v>0.85</v>
      </c>
      <c r="J164" s="78">
        <v>1.4721910139902907</v>
      </c>
      <c r="K164" s="80" t="s">
        <v>274</v>
      </c>
      <c r="L164" s="510">
        <v>1.6401708719887149</v>
      </c>
      <c r="M164" s="62">
        <v>5.0999999999999997E-2</v>
      </c>
      <c r="N164" s="80" t="s">
        <v>274</v>
      </c>
      <c r="O164" s="513" t="s">
        <v>1975</v>
      </c>
      <c r="P164" s="35" t="s">
        <v>1523</v>
      </c>
      <c r="Q164" s="235" t="s">
        <v>275</v>
      </c>
      <c r="S164" s="35" t="s">
        <v>1972</v>
      </c>
      <c r="T164" s="35" t="s">
        <v>1973</v>
      </c>
      <c r="U164" s="36" t="s">
        <v>1673</v>
      </c>
      <c r="V164" s="35" t="s">
        <v>1674</v>
      </c>
      <c r="W164" s="35" t="s">
        <v>1673</v>
      </c>
      <c r="X164" s="35" t="s">
        <v>1778</v>
      </c>
      <c r="Y164" s="496">
        <v>9000</v>
      </c>
      <c r="Z164" s="149" t="s">
        <v>274</v>
      </c>
      <c r="AA164" s="150">
        <v>6750</v>
      </c>
      <c r="AB164" s="35" t="s">
        <v>1943</v>
      </c>
      <c r="AC164" s="238" t="s">
        <v>275</v>
      </c>
    </row>
    <row r="165" spans="2:30" ht="12.75">
      <c r="B165" s="47" t="s">
        <v>1972</v>
      </c>
      <c r="C165" s="47" t="s">
        <v>1973</v>
      </c>
      <c r="D165" s="48" t="s">
        <v>1673</v>
      </c>
      <c r="E165" s="47" t="s">
        <v>1674</v>
      </c>
      <c r="F165" s="47" t="s">
        <v>1673</v>
      </c>
      <c r="G165" s="47" t="s">
        <v>1778</v>
      </c>
      <c r="H165" s="49" t="s">
        <v>1989</v>
      </c>
      <c r="I165" s="47">
        <v>0.85</v>
      </c>
      <c r="J165" s="78">
        <v>1.4721910139902907</v>
      </c>
      <c r="K165" s="80" t="s">
        <v>276</v>
      </c>
      <c r="L165" s="510"/>
      <c r="M165" s="62">
        <v>5.0999999999999997E-2</v>
      </c>
      <c r="N165" s="80" t="s">
        <v>274</v>
      </c>
      <c r="O165" s="513"/>
      <c r="P165" s="35" t="s">
        <v>1944</v>
      </c>
      <c r="Q165" s="236" t="s">
        <v>277</v>
      </c>
      <c r="S165" s="35" t="s">
        <v>1972</v>
      </c>
      <c r="T165" s="35" t="s">
        <v>1973</v>
      </c>
      <c r="U165" s="36" t="s">
        <v>1673</v>
      </c>
      <c r="V165" s="35" t="s">
        <v>1674</v>
      </c>
      <c r="W165" s="35" t="s">
        <v>1673</v>
      </c>
      <c r="X165" s="35" t="s">
        <v>1778</v>
      </c>
      <c r="Y165" s="496"/>
      <c r="Z165" s="151" t="s">
        <v>276</v>
      </c>
      <c r="AA165" s="152">
        <v>6750</v>
      </c>
      <c r="AB165" s="491" t="s">
        <v>1944</v>
      </c>
      <c r="AC165" s="490" t="s">
        <v>277</v>
      </c>
    </row>
    <row r="166" spans="2:30" ht="12.75">
      <c r="B166" s="47" t="s">
        <v>1972</v>
      </c>
      <c r="C166" s="47" t="s">
        <v>1973</v>
      </c>
      <c r="D166" s="48" t="s">
        <v>1673</v>
      </c>
      <c r="E166" s="47" t="s">
        <v>1674</v>
      </c>
      <c r="F166" s="47" t="s">
        <v>1673</v>
      </c>
      <c r="G166" s="47" t="s">
        <v>1778</v>
      </c>
      <c r="H166" s="49">
        <v>6.4100000000000008E-4</v>
      </c>
      <c r="I166" s="47">
        <v>0.85</v>
      </c>
      <c r="J166" s="78">
        <v>1.4721910139902907</v>
      </c>
      <c r="K166" s="80" t="s">
        <v>274</v>
      </c>
      <c r="L166" s="510"/>
      <c r="M166" s="62">
        <v>5.0999999999999997E-2</v>
      </c>
      <c r="N166" s="80" t="s">
        <v>276</v>
      </c>
      <c r="O166" s="513"/>
      <c r="P166" s="35" t="s">
        <v>1944</v>
      </c>
      <c r="Q166" s="236" t="s">
        <v>277</v>
      </c>
      <c r="S166" s="35" t="s">
        <v>1972</v>
      </c>
      <c r="T166" s="35" t="s">
        <v>1973</v>
      </c>
      <c r="U166" s="36" t="s">
        <v>1673</v>
      </c>
      <c r="V166" s="35" t="s">
        <v>1674</v>
      </c>
      <c r="W166" s="35" t="s">
        <v>1673</v>
      </c>
      <c r="X166" s="35" t="s">
        <v>1778</v>
      </c>
      <c r="Y166" s="496"/>
      <c r="Z166" s="153" t="s">
        <v>274</v>
      </c>
      <c r="AA166" s="154">
        <v>11250</v>
      </c>
      <c r="AB166" s="491"/>
      <c r="AC166" s="490"/>
    </row>
    <row r="167" spans="2:30" ht="12.75">
      <c r="B167" s="47" t="s">
        <v>1972</v>
      </c>
      <c r="C167" s="47" t="s">
        <v>1973</v>
      </c>
      <c r="D167" s="48" t="s">
        <v>1673</v>
      </c>
      <c r="E167" s="47" t="s">
        <v>1674</v>
      </c>
      <c r="F167" s="47" t="s">
        <v>1673</v>
      </c>
      <c r="G167" s="47" t="s">
        <v>1778</v>
      </c>
      <c r="H167" s="49">
        <v>6.4100000000000008E-4</v>
      </c>
      <c r="I167" s="47">
        <v>0.85</v>
      </c>
      <c r="J167" s="78">
        <v>1.4721910139902907</v>
      </c>
      <c r="K167" s="80" t="s">
        <v>276</v>
      </c>
      <c r="L167" s="510"/>
      <c r="M167" s="62">
        <v>5.0999999999999997E-2</v>
      </c>
      <c r="N167" s="80" t="s">
        <v>276</v>
      </c>
      <c r="O167" s="513"/>
      <c r="P167" s="35" t="s">
        <v>1945</v>
      </c>
      <c r="Q167" s="237" t="s">
        <v>256</v>
      </c>
      <c r="S167" s="35" t="s">
        <v>1972</v>
      </c>
      <c r="T167" s="35" t="s">
        <v>1973</v>
      </c>
      <c r="U167" s="36" t="s">
        <v>1673</v>
      </c>
      <c r="V167" s="35" t="s">
        <v>1674</v>
      </c>
      <c r="W167" s="35" t="s">
        <v>1673</v>
      </c>
      <c r="X167" s="35" t="s">
        <v>1778</v>
      </c>
      <c r="Y167" s="496"/>
      <c r="Z167" s="149" t="s">
        <v>276</v>
      </c>
      <c r="AA167" s="150">
        <v>11250</v>
      </c>
      <c r="AB167" s="35" t="s">
        <v>1946</v>
      </c>
      <c r="AC167" s="239" t="s">
        <v>256</v>
      </c>
    </row>
    <row r="168" spans="2:30" ht="12.75">
      <c r="B168" s="57" t="s">
        <v>1972</v>
      </c>
      <c r="C168" s="57" t="s">
        <v>1973</v>
      </c>
      <c r="D168" s="58" t="s">
        <v>1673</v>
      </c>
      <c r="E168" s="57" t="s">
        <v>1674</v>
      </c>
      <c r="F168" s="57" t="s">
        <v>1673</v>
      </c>
      <c r="G168" s="57" t="s">
        <v>1781</v>
      </c>
      <c r="H168" s="59" t="s">
        <v>1990</v>
      </c>
      <c r="I168" s="57">
        <v>0.85</v>
      </c>
      <c r="J168" s="78">
        <v>1.23663676856292</v>
      </c>
      <c r="K168" s="84" t="s">
        <v>274</v>
      </c>
      <c r="L168" s="524">
        <v>1.6401708719887149</v>
      </c>
      <c r="M168" s="62">
        <v>6.6000000000000003E-2</v>
      </c>
      <c r="N168" s="84" t="s">
        <v>274</v>
      </c>
      <c r="O168" s="522" t="s">
        <v>1975</v>
      </c>
      <c r="P168" s="57" t="s">
        <v>1523</v>
      </c>
      <c r="Q168" s="235" t="s">
        <v>275</v>
      </c>
      <c r="S168" s="57" t="s">
        <v>1972</v>
      </c>
      <c r="T168" s="57" t="s">
        <v>1973</v>
      </c>
      <c r="U168" s="58" t="s">
        <v>1673</v>
      </c>
      <c r="V168" s="57" t="s">
        <v>1674</v>
      </c>
      <c r="W168" s="57" t="s">
        <v>1673</v>
      </c>
      <c r="X168" s="57" t="s">
        <v>1781</v>
      </c>
      <c r="Y168" s="504">
        <v>6000</v>
      </c>
      <c r="Z168" s="143" t="s">
        <v>274</v>
      </c>
      <c r="AA168" s="144">
        <v>4500</v>
      </c>
      <c r="AB168" s="57" t="s">
        <v>1943</v>
      </c>
      <c r="AC168" s="238" t="s">
        <v>275</v>
      </c>
    </row>
    <row r="169" spans="2:30" ht="12.75">
      <c r="B169" s="57" t="s">
        <v>1972</v>
      </c>
      <c r="C169" s="57" t="s">
        <v>1973</v>
      </c>
      <c r="D169" s="58" t="s">
        <v>1673</v>
      </c>
      <c r="E169" s="57" t="s">
        <v>1674</v>
      </c>
      <c r="F169" s="57" t="s">
        <v>1673</v>
      </c>
      <c r="G169" s="57" t="s">
        <v>1781</v>
      </c>
      <c r="H169" s="59" t="s">
        <v>1990</v>
      </c>
      <c r="I169" s="57">
        <v>0.85</v>
      </c>
      <c r="J169" s="78">
        <v>1.23663676856292</v>
      </c>
      <c r="K169" s="84" t="s">
        <v>276</v>
      </c>
      <c r="L169" s="524"/>
      <c r="M169" s="62">
        <v>6.6000000000000003E-2</v>
      </c>
      <c r="N169" s="84" t="s">
        <v>274</v>
      </c>
      <c r="O169" s="522"/>
      <c r="P169" s="57" t="s">
        <v>1944</v>
      </c>
      <c r="Q169" s="236" t="s">
        <v>277</v>
      </c>
      <c r="S169" s="57" t="s">
        <v>1972</v>
      </c>
      <c r="T169" s="57" t="s">
        <v>1973</v>
      </c>
      <c r="U169" s="58" t="s">
        <v>1673</v>
      </c>
      <c r="V169" s="57" t="s">
        <v>1674</v>
      </c>
      <c r="W169" s="57" t="s">
        <v>1673</v>
      </c>
      <c r="X169" s="57" t="s">
        <v>1781</v>
      </c>
      <c r="Y169" s="504"/>
      <c r="Z169" s="145" t="s">
        <v>276</v>
      </c>
      <c r="AA169" s="146">
        <v>4500</v>
      </c>
      <c r="AB169" s="506" t="s">
        <v>1944</v>
      </c>
      <c r="AC169" s="490" t="s">
        <v>277</v>
      </c>
    </row>
    <row r="170" spans="2:30" ht="12.75">
      <c r="B170" s="57" t="s">
        <v>1972</v>
      </c>
      <c r="C170" s="57" t="s">
        <v>1973</v>
      </c>
      <c r="D170" s="58" t="s">
        <v>1673</v>
      </c>
      <c r="E170" s="57" t="s">
        <v>1674</v>
      </c>
      <c r="F170" s="57" t="s">
        <v>1673</v>
      </c>
      <c r="G170" s="57" t="s">
        <v>1781</v>
      </c>
      <c r="H170" s="59">
        <v>7.6000000000000004E-4</v>
      </c>
      <c r="I170" s="57">
        <v>0.85</v>
      </c>
      <c r="J170" s="78">
        <v>1.23663676856292</v>
      </c>
      <c r="K170" s="84" t="s">
        <v>274</v>
      </c>
      <c r="L170" s="524"/>
      <c r="M170" s="62">
        <v>6.6000000000000003E-2</v>
      </c>
      <c r="N170" s="84" t="s">
        <v>276</v>
      </c>
      <c r="O170" s="522"/>
      <c r="P170" s="57" t="s">
        <v>1944</v>
      </c>
      <c r="Q170" s="236" t="s">
        <v>277</v>
      </c>
      <c r="S170" s="57" t="s">
        <v>1972</v>
      </c>
      <c r="T170" s="57" t="s">
        <v>1973</v>
      </c>
      <c r="U170" s="58" t="s">
        <v>1673</v>
      </c>
      <c r="V170" s="57" t="s">
        <v>1674</v>
      </c>
      <c r="W170" s="57" t="s">
        <v>1673</v>
      </c>
      <c r="X170" s="57" t="s">
        <v>1781</v>
      </c>
      <c r="Y170" s="504"/>
      <c r="Z170" s="147" t="s">
        <v>274</v>
      </c>
      <c r="AA170" s="148">
        <v>7500</v>
      </c>
      <c r="AB170" s="506"/>
      <c r="AC170" s="490"/>
    </row>
    <row r="171" spans="2:30" ht="12.75">
      <c r="B171" s="57" t="s">
        <v>1972</v>
      </c>
      <c r="C171" s="57" t="s">
        <v>1973</v>
      </c>
      <c r="D171" s="58" t="s">
        <v>1673</v>
      </c>
      <c r="E171" s="57" t="s">
        <v>1674</v>
      </c>
      <c r="F171" s="57" t="s">
        <v>1673</v>
      </c>
      <c r="G171" s="57" t="s">
        <v>1781</v>
      </c>
      <c r="H171" s="59">
        <v>7.6000000000000004E-4</v>
      </c>
      <c r="I171" s="57">
        <v>0.85</v>
      </c>
      <c r="J171" s="78">
        <v>1.23663676856292</v>
      </c>
      <c r="K171" s="84" t="s">
        <v>276</v>
      </c>
      <c r="L171" s="524"/>
      <c r="M171" s="62">
        <v>6.6000000000000003E-2</v>
      </c>
      <c r="N171" s="84" t="s">
        <v>276</v>
      </c>
      <c r="O171" s="522"/>
      <c r="P171" s="57" t="s">
        <v>1945</v>
      </c>
      <c r="Q171" s="237" t="s">
        <v>256</v>
      </c>
      <c r="S171" s="57" t="s">
        <v>1972</v>
      </c>
      <c r="T171" s="57" t="s">
        <v>1973</v>
      </c>
      <c r="U171" s="58" t="s">
        <v>1673</v>
      </c>
      <c r="V171" s="57" t="s">
        <v>1674</v>
      </c>
      <c r="W171" s="57" t="s">
        <v>1673</v>
      </c>
      <c r="X171" s="57" t="s">
        <v>1781</v>
      </c>
      <c r="Y171" s="504"/>
      <c r="Z171" s="143" t="s">
        <v>276</v>
      </c>
      <c r="AA171" s="144">
        <v>7500</v>
      </c>
      <c r="AB171" s="57" t="s">
        <v>1946</v>
      </c>
      <c r="AC171" s="239" t="s">
        <v>256</v>
      </c>
      <c r="AD171" s="66"/>
    </row>
    <row r="172" spans="2:30" ht="12.75">
      <c r="B172" s="47" t="s">
        <v>1972</v>
      </c>
      <c r="C172" s="47" t="s">
        <v>1973</v>
      </c>
      <c r="D172" s="48" t="s">
        <v>1673</v>
      </c>
      <c r="E172" s="47" t="s">
        <v>1674</v>
      </c>
      <c r="F172" s="47" t="s">
        <v>1673</v>
      </c>
      <c r="G172" s="47" t="s">
        <v>1799</v>
      </c>
      <c r="H172" s="49" t="s">
        <v>1991</v>
      </c>
      <c r="I172" s="47">
        <v>0.85</v>
      </c>
      <c r="J172" s="78">
        <v>1.7834393663718027</v>
      </c>
      <c r="K172" s="80" t="s">
        <v>274</v>
      </c>
      <c r="L172" s="510">
        <v>1.6401708719887149</v>
      </c>
      <c r="M172" s="62">
        <v>6.6000000000000003E-2</v>
      </c>
      <c r="N172" s="80" t="s">
        <v>274</v>
      </c>
      <c r="O172" s="513" t="s">
        <v>1975</v>
      </c>
      <c r="P172" s="35" t="s">
        <v>1523</v>
      </c>
      <c r="Q172" s="235" t="s">
        <v>275</v>
      </c>
      <c r="S172" s="35" t="s">
        <v>1972</v>
      </c>
      <c r="T172" s="35" t="s">
        <v>1973</v>
      </c>
      <c r="U172" s="36" t="s">
        <v>1673</v>
      </c>
      <c r="V172" s="35" t="s">
        <v>1674</v>
      </c>
      <c r="W172" s="35" t="s">
        <v>1673</v>
      </c>
      <c r="X172" s="35" t="s">
        <v>1799</v>
      </c>
      <c r="Y172" s="496">
        <v>10000</v>
      </c>
      <c r="Z172" s="149" t="s">
        <v>274</v>
      </c>
      <c r="AA172" s="150">
        <v>7500</v>
      </c>
      <c r="AB172" s="35" t="s">
        <v>1943</v>
      </c>
      <c r="AC172" s="238" t="s">
        <v>275</v>
      </c>
    </row>
    <row r="173" spans="2:30" ht="12.75">
      <c r="B173" s="47" t="s">
        <v>1972</v>
      </c>
      <c r="C173" s="47" t="s">
        <v>1973</v>
      </c>
      <c r="D173" s="48" t="s">
        <v>1673</v>
      </c>
      <c r="E173" s="47" t="s">
        <v>1674</v>
      </c>
      <c r="F173" s="47" t="s">
        <v>1673</v>
      </c>
      <c r="G173" s="47" t="s">
        <v>1799</v>
      </c>
      <c r="H173" s="49" t="s">
        <v>1991</v>
      </c>
      <c r="I173" s="47">
        <v>0.85</v>
      </c>
      <c r="J173" s="78">
        <v>1.7834393663718027</v>
      </c>
      <c r="K173" s="80" t="s">
        <v>276</v>
      </c>
      <c r="L173" s="510"/>
      <c r="M173" s="62">
        <v>6.6000000000000003E-2</v>
      </c>
      <c r="N173" s="80" t="s">
        <v>274</v>
      </c>
      <c r="O173" s="513"/>
      <c r="P173" s="35" t="s">
        <v>1944</v>
      </c>
      <c r="Q173" s="236" t="s">
        <v>277</v>
      </c>
      <c r="S173" s="35" t="s">
        <v>1972</v>
      </c>
      <c r="T173" s="35" t="s">
        <v>1973</v>
      </c>
      <c r="U173" s="36" t="s">
        <v>1673</v>
      </c>
      <c r="V173" s="35" t="s">
        <v>1674</v>
      </c>
      <c r="W173" s="35" t="s">
        <v>1673</v>
      </c>
      <c r="X173" s="35" t="s">
        <v>1799</v>
      </c>
      <c r="Y173" s="496"/>
      <c r="Z173" s="151" t="s">
        <v>276</v>
      </c>
      <c r="AA173" s="152">
        <v>7500</v>
      </c>
      <c r="AB173" s="491" t="s">
        <v>1944</v>
      </c>
      <c r="AC173" s="490" t="s">
        <v>277</v>
      </c>
    </row>
    <row r="174" spans="2:30" ht="12.75">
      <c r="B174" s="47" t="s">
        <v>1972</v>
      </c>
      <c r="C174" s="47" t="s">
        <v>1973</v>
      </c>
      <c r="D174" s="48" t="s">
        <v>1673</v>
      </c>
      <c r="E174" s="47" t="s">
        <v>1674</v>
      </c>
      <c r="F174" s="47" t="s">
        <v>1673</v>
      </c>
      <c r="G174" s="47" t="s">
        <v>1799</v>
      </c>
      <c r="H174" s="49">
        <v>7.1000000000000002E-4</v>
      </c>
      <c r="I174" s="47">
        <v>0.85</v>
      </c>
      <c r="J174" s="78">
        <v>1.7834393663718027</v>
      </c>
      <c r="K174" s="80" t="s">
        <v>274</v>
      </c>
      <c r="L174" s="510"/>
      <c r="M174" s="62">
        <v>6.6000000000000003E-2</v>
      </c>
      <c r="N174" s="80" t="s">
        <v>276</v>
      </c>
      <c r="O174" s="513"/>
      <c r="P174" s="35" t="s">
        <v>1944</v>
      </c>
      <c r="Q174" s="236" t="s">
        <v>277</v>
      </c>
      <c r="S174" s="35" t="s">
        <v>1972</v>
      </c>
      <c r="T174" s="35" t="s">
        <v>1973</v>
      </c>
      <c r="U174" s="36" t="s">
        <v>1673</v>
      </c>
      <c r="V174" s="35" t="s">
        <v>1674</v>
      </c>
      <c r="W174" s="35" t="s">
        <v>1673</v>
      </c>
      <c r="X174" s="35" t="s">
        <v>1799</v>
      </c>
      <c r="Y174" s="496"/>
      <c r="Z174" s="153" t="s">
        <v>274</v>
      </c>
      <c r="AA174" s="154">
        <v>12500</v>
      </c>
      <c r="AB174" s="491"/>
      <c r="AC174" s="490"/>
    </row>
    <row r="175" spans="2:30" ht="12.75">
      <c r="B175" s="47" t="s">
        <v>1972</v>
      </c>
      <c r="C175" s="47" t="s">
        <v>1973</v>
      </c>
      <c r="D175" s="48" t="s">
        <v>1673</v>
      </c>
      <c r="E175" s="47" t="s">
        <v>1674</v>
      </c>
      <c r="F175" s="47" t="s">
        <v>1673</v>
      </c>
      <c r="G175" s="47" t="s">
        <v>1799</v>
      </c>
      <c r="H175" s="49">
        <v>7.1000000000000002E-4</v>
      </c>
      <c r="I175" s="47">
        <v>0.85</v>
      </c>
      <c r="J175" s="78">
        <v>1.7834393663718027</v>
      </c>
      <c r="K175" s="80" t="s">
        <v>276</v>
      </c>
      <c r="L175" s="510"/>
      <c r="M175" s="62">
        <v>6.6000000000000003E-2</v>
      </c>
      <c r="N175" s="80" t="s">
        <v>276</v>
      </c>
      <c r="O175" s="513"/>
      <c r="P175" s="35" t="s">
        <v>1945</v>
      </c>
      <c r="Q175" s="237" t="s">
        <v>256</v>
      </c>
      <c r="S175" s="35" t="s">
        <v>1972</v>
      </c>
      <c r="T175" s="35" t="s">
        <v>1973</v>
      </c>
      <c r="U175" s="36" t="s">
        <v>1673</v>
      </c>
      <c r="V175" s="35" t="s">
        <v>1674</v>
      </c>
      <c r="W175" s="35" t="s">
        <v>1673</v>
      </c>
      <c r="X175" s="35" t="s">
        <v>1799</v>
      </c>
      <c r="Y175" s="496"/>
      <c r="Z175" s="149" t="s">
        <v>276</v>
      </c>
      <c r="AA175" s="150">
        <v>12500</v>
      </c>
      <c r="AB175" s="35" t="s">
        <v>1946</v>
      </c>
      <c r="AC175" s="239" t="s">
        <v>256</v>
      </c>
      <c r="AD175" s="66"/>
    </row>
    <row r="176" spans="2:30" ht="12.75">
      <c r="B176" s="57" t="s">
        <v>1972</v>
      </c>
      <c r="C176" s="57" t="s">
        <v>1973</v>
      </c>
      <c r="D176" s="58" t="s">
        <v>1673</v>
      </c>
      <c r="E176" s="57" t="s">
        <v>1673</v>
      </c>
      <c r="F176" s="57" t="s">
        <v>1674</v>
      </c>
      <c r="G176" s="57" t="s">
        <v>1778</v>
      </c>
      <c r="H176" s="59" t="s">
        <v>1992</v>
      </c>
      <c r="I176" s="57">
        <v>0.85</v>
      </c>
      <c r="J176" s="78">
        <v>1.5689923977643903</v>
      </c>
      <c r="K176" s="84" t="s">
        <v>274</v>
      </c>
      <c r="L176" s="524">
        <v>1.6401708719887149</v>
      </c>
      <c r="M176" s="62">
        <v>5.0999999999999997E-2</v>
      </c>
      <c r="N176" s="84" t="s">
        <v>274</v>
      </c>
      <c r="O176" s="522" t="s">
        <v>1975</v>
      </c>
      <c r="P176" s="57" t="s">
        <v>1523</v>
      </c>
      <c r="Q176" s="235" t="s">
        <v>275</v>
      </c>
      <c r="S176" s="57" t="s">
        <v>1972</v>
      </c>
      <c r="T176" s="57" t="s">
        <v>1973</v>
      </c>
      <c r="U176" s="58" t="s">
        <v>1673</v>
      </c>
      <c r="V176" s="57" t="s">
        <v>1673</v>
      </c>
      <c r="W176" s="57" t="s">
        <v>1674</v>
      </c>
      <c r="X176" s="57" t="s">
        <v>1778</v>
      </c>
      <c r="Y176" s="504">
        <v>18000</v>
      </c>
      <c r="Z176" s="143" t="s">
        <v>274</v>
      </c>
      <c r="AA176" s="144">
        <v>13500</v>
      </c>
      <c r="AB176" s="57" t="s">
        <v>1943</v>
      </c>
      <c r="AC176" s="238" t="s">
        <v>275</v>
      </c>
    </row>
    <row r="177" spans="2:29" ht="12.75">
      <c r="B177" s="57" t="s">
        <v>1972</v>
      </c>
      <c r="C177" s="57" t="s">
        <v>1973</v>
      </c>
      <c r="D177" s="58" t="s">
        <v>1673</v>
      </c>
      <c r="E177" s="57" t="s">
        <v>1673</v>
      </c>
      <c r="F177" s="57" t="s">
        <v>1674</v>
      </c>
      <c r="G177" s="57" t="s">
        <v>1778</v>
      </c>
      <c r="H177" s="59" t="s">
        <v>1992</v>
      </c>
      <c r="I177" s="57">
        <v>0.85</v>
      </c>
      <c r="J177" s="78">
        <v>1.5689923977643903</v>
      </c>
      <c r="K177" s="84" t="s">
        <v>276</v>
      </c>
      <c r="L177" s="524"/>
      <c r="M177" s="62">
        <v>5.0999999999999997E-2</v>
      </c>
      <c r="N177" s="84" t="s">
        <v>274</v>
      </c>
      <c r="O177" s="522"/>
      <c r="P177" s="57" t="s">
        <v>1944</v>
      </c>
      <c r="Q177" s="236" t="s">
        <v>277</v>
      </c>
      <c r="S177" s="57" t="s">
        <v>1972</v>
      </c>
      <c r="T177" s="57" t="s">
        <v>1973</v>
      </c>
      <c r="U177" s="58" t="s">
        <v>1673</v>
      </c>
      <c r="V177" s="57" t="s">
        <v>1673</v>
      </c>
      <c r="W177" s="57" t="s">
        <v>1674</v>
      </c>
      <c r="X177" s="57" t="s">
        <v>1778</v>
      </c>
      <c r="Y177" s="504"/>
      <c r="Z177" s="145" t="s">
        <v>276</v>
      </c>
      <c r="AA177" s="146">
        <v>13500</v>
      </c>
      <c r="AB177" s="506" t="s">
        <v>1944</v>
      </c>
      <c r="AC177" s="490" t="s">
        <v>277</v>
      </c>
    </row>
    <row r="178" spans="2:29" ht="12.75">
      <c r="B178" s="57" t="s">
        <v>1972</v>
      </c>
      <c r="C178" s="57" t="s">
        <v>1973</v>
      </c>
      <c r="D178" s="58" t="s">
        <v>1673</v>
      </c>
      <c r="E178" s="57" t="s">
        <v>1673</v>
      </c>
      <c r="F178" s="57" t="s">
        <v>1674</v>
      </c>
      <c r="G178" s="57" t="s">
        <v>1778</v>
      </c>
      <c r="H178" s="59">
        <v>3.79E-4</v>
      </c>
      <c r="I178" s="57">
        <v>0.85</v>
      </c>
      <c r="J178" s="78">
        <v>1.5689923977643903</v>
      </c>
      <c r="K178" s="84" t="s">
        <v>274</v>
      </c>
      <c r="L178" s="524"/>
      <c r="M178" s="62">
        <v>5.0999999999999997E-2</v>
      </c>
      <c r="N178" s="84" t="s">
        <v>276</v>
      </c>
      <c r="O178" s="522"/>
      <c r="P178" s="57" t="s">
        <v>1944</v>
      </c>
      <c r="Q178" s="236" t="s">
        <v>277</v>
      </c>
      <c r="S178" s="57" t="s">
        <v>1972</v>
      </c>
      <c r="T178" s="57" t="s">
        <v>1973</v>
      </c>
      <c r="U178" s="58" t="s">
        <v>1673</v>
      </c>
      <c r="V178" s="57" t="s">
        <v>1673</v>
      </c>
      <c r="W178" s="57" t="s">
        <v>1674</v>
      </c>
      <c r="X178" s="57" t="s">
        <v>1778</v>
      </c>
      <c r="Y178" s="504"/>
      <c r="Z178" s="147" t="s">
        <v>274</v>
      </c>
      <c r="AA178" s="148">
        <v>22500</v>
      </c>
      <c r="AB178" s="506"/>
      <c r="AC178" s="490"/>
    </row>
    <row r="179" spans="2:29" ht="12.75">
      <c r="B179" s="57" t="s">
        <v>1972</v>
      </c>
      <c r="C179" s="57" t="s">
        <v>1973</v>
      </c>
      <c r="D179" s="58" t="s">
        <v>1673</v>
      </c>
      <c r="E179" s="57" t="s">
        <v>1673</v>
      </c>
      <c r="F179" s="57" t="s">
        <v>1674</v>
      </c>
      <c r="G179" s="57" t="s">
        <v>1778</v>
      </c>
      <c r="H179" s="59">
        <v>3.79E-4</v>
      </c>
      <c r="I179" s="57">
        <v>0.85</v>
      </c>
      <c r="J179" s="78">
        <v>1.5689923977643903</v>
      </c>
      <c r="K179" s="84" t="s">
        <v>276</v>
      </c>
      <c r="L179" s="524"/>
      <c r="M179" s="62">
        <v>5.0999999999999997E-2</v>
      </c>
      <c r="N179" s="84" t="s">
        <v>276</v>
      </c>
      <c r="O179" s="522"/>
      <c r="P179" s="57" t="s">
        <v>1945</v>
      </c>
      <c r="Q179" s="237" t="s">
        <v>256</v>
      </c>
      <c r="S179" s="57" t="s">
        <v>1972</v>
      </c>
      <c r="T179" s="57" t="s">
        <v>1973</v>
      </c>
      <c r="U179" s="58" t="s">
        <v>1673</v>
      </c>
      <c r="V179" s="57" t="s">
        <v>1673</v>
      </c>
      <c r="W179" s="57" t="s">
        <v>1674</v>
      </c>
      <c r="X179" s="57" t="s">
        <v>1778</v>
      </c>
      <c r="Y179" s="504"/>
      <c r="Z179" s="143" t="s">
        <v>276</v>
      </c>
      <c r="AA179" s="144">
        <v>22500</v>
      </c>
      <c r="AB179" s="57" t="s">
        <v>1946</v>
      </c>
      <c r="AC179" s="239" t="s">
        <v>256</v>
      </c>
    </row>
    <row r="180" spans="2:29" ht="12.75">
      <c r="B180" s="47" t="s">
        <v>1972</v>
      </c>
      <c r="C180" s="47" t="s">
        <v>1973</v>
      </c>
      <c r="D180" s="48" t="s">
        <v>1673</v>
      </c>
      <c r="E180" s="47" t="s">
        <v>1673</v>
      </c>
      <c r="F180" s="47" t="s">
        <v>1674</v>
      </c>
      <c r="G180" s="47" t="s">
        <v>1781</v>
      </c>
      <c r="H180" s="49" t="s">
        <v>1993</v>
      </c>
      <c r="I180" s="47">
        <v>0.85</v>
      </c>
      <c r="J180" s="78">
        <v>1.3139597841250115</v>
      </c>
      <c r="K180" s="80" t="s">
        <v>274</v>
      </c>
      <c r="L180" s="510">
        <v>1.6401708719887149</v>
      </c>
      <c r="M180" s="62">
        <v>6.6000000000000003E-2</v>
      </c>
      <c r="N180" s="80" t="s">
        <v>274</v>
      </c>
      <c r="O180" s="513" t="s">
        <v>1975</v>
      </c>
      <c r="P180" s="35" t="s">
        <v>1523</v>
      </c>
      <c r="Q180" s="235" t="s">
        <v>275</v>
      </c>
      <c r="S180" s="35" t="s">
        <v>1972</v>
      </c>
      <c r="T180" s="35" t="s">
        <v>1973</v>
      </c>
      <c r="U180" s="36" t="s">
        <v>1673</v>
      </c>
      <c r="V180" s="35" t="s">
        <v>1673</v>
      </c>
      <c r="W180" s="35" t="s">
        <v>1674</v>
      </c>
      <c r="X180" s="35" t="s">
        <v>1781</v>
      </c>
      <c r="Y180" s="496">
        <v>12000</v>
      </c>
      <c r="Z180" s="149" t="s">
        <v>274</v>
      </c>
      <c r="AA180" s="150">
        <v>9000</v>
      </c>
      <c r="AB180" s="35" t="s">
        <v>1943</v>
      </c>
      <c r="AC180" s="238" t="s">
        <v>275</v>
      </c>
    </row>
    <row r="181" spans="2:29" ht="12.75">
      <c r="B181" s="47" t="s">
        <v>1972</v>
      </c>
      <c r="C181" s="47" t="s">
        <v>1973</v>
      </c>
      <c r="D181" s="48" t="s">
        <v>1673</v>
      </c>
      <c r="E181" s="47" t="s">
        <v>1673</v>
      </c>
      <c r="F181" s="47" t="s">
        <v>1674</v>
      </c>
      <c r="G181" s="47" t="s">
        <v>1781</v>
      </c>
      <c r="H181" s="49" t="s">
        <v>1993</v>
      </c>
      <c r="I181" s="47">
        <v>0.85</v>
      </c>
      <c r="J181" s="78">
        <v>1.3139597841250115</v>
      </c>
      <c r="K181" s="80" t="s">
        <v>276</v>
      </c>
      <c r="L181" s="510"/>
      <c r="M181" s="62">
        <v>6.6000000000000003E-2</v>
      </c>
      <c r="N181" s="80" t="s">
        <v>274</v>
      </c>
      <c r="O181" s="513"/>
      <c r="P181" s="35" t="s">
        <v>1944</v>
      </c>
      <c r="Q181" s="236" t="s">
        <v>277</v>
      </c>
      <c r="S181" s="35" t="s">
        <v>1972</v>
      </c>
      <c r="T181" s="35" t="s">
        <v>1973</v>
      </c>
      <c r="U181" s="36" t="s">
        <v>1673</v>
      </c>
      <c r="V181" s="35" t="s">
        <v>1673</v>
      </c>
      <c r="W181" s="35" t="s">
        <v>1674</v>
      </c>
      <c r="X181" s="35" t="s">
        <v>1781</v>
      </c>
      <c r="Y181" s="496"/>
      <c r="Z181" s="151" t="s">
        <v>276</v>
      </c>
      <c r="AA181" s="152">
        <v>9000</v>
      </c>
      <c r="AB181" s="491" t="s">
        <v>1944</v>
      </c>
      <c r="AC181" s="490" t="s">
        <v>277</v>
      </c>
    </row>
    <row r="182" spans="2:29" ht="12.75">
      <c r="B182" s="47" t="s">
        <v>1972</v>
      </c>
      <c r="C182" s="47" t="s">
        <v>1973</v>
      </c>
      <c r="D182" s="48" t="s">
        <v>1673</v>
      </c>
      <c r="E182" s="47" t="s">
        <v>1673</v>
      </c>
      <c r="F182" s="47" t="s">
        <v>1674</v>
      </c>
      <c r="G182" s="47" t="s">
        <v>1781</v>
      </c>
      <c r="H182" s="49">
        <v>4.4800000000000005E-4</v>
      </c>
      <c r="I182" s="47">
        <v>0.85</v>
      </c>
      <c r="J182" s="78">
        <v>1.3139597841250115</v>
      </c>
      <c r="K182" s="80" t="s">
        <v>274</v>
      </c>
      <c r="L182" s="510"/>
      <c r="M182" s="62">
        <v>6.6000000000000003E-2</v>
      </c>
      <c r="N182" s="80" t="s">
        <v>276</v>
      </c>
      <c r="O182" s="513"/>
      <c r="P182" s="35" t="s">
        <v>1944</v>
      </c>
      <c r="Q182" s="236" t="s">
        <v>277</v>
      </c>
      <c r="S182" s="35" t="s">
        <v>1972</v>
      </c>
      <c r="T182" s="35" t="s">
        <v>1973</v>
      </c>
      <c r="U182" s="36" t="s">
        <v>1673</v>
      </c>
      <c r="V182" s="35" t="s">
        <v>1673</v>
      </c>
      <c r="W182" s="35" t="s">
        <v>1674</v>
      </c>
      <c r="X182" s="35" t="s">
        <v>1781</v>
      </c>
      <c r="Y182" s="496"/>
      <c r="Z182" s="153" t="s">
        <v>274</v>
      </c>
      <c r="AA182" s="154">
        <v>15000</v>
      </c>
      <c r="AB182" s="491"/>
      <c r="AC182" s="490"/>
    </row>
    <row r="183" spans="2:29" ht="12.75">
      <c r="B183" s="47" t="s">
        <v>1972</v>
      </c>
      <c r="C183" s="47" t="s">
        <v>1973</v>
      </c>
      <c r="D183" s="48" t="s">
        <v>1673</v>
      </c>
      <c r="E183" s="47" t="s">
        <v>1673</v>
      </c>
      <c r="F183" s="47" t="s">
        <v>1674</v>
      </c>
      <c r="G183" s="47" t="s">
        <v>1781</v>
      </c>
      <c r="H183" s="49">
        <v>4.4800000000000005E-4</v>
      </c>
      <c r="I183" s="47">
        <v>0.85</v>
      </c>
      <c r="J183" s="78">
        <v>1.3139597841250115</v>
      </c>
      <c r="K183" s="80" t="s">
        <v>276</v>
      </c>
      <c r="L183" s="510"/>
      <c r="M183" s="62">
        <v>6.6000000000000003E-2</v>
      </c>
      <c r="N183" s="80" t="s">
        <v>276</v>
      </c>
      <c r="O183" s="513"/>
      <c r="P183" s="35" t="s">
        <v>1945</v>
      </c>
      <c r="Q183" s="237" t="s">
        <v>256</v>
      </c>
      <c r="S183" s="35" t="s">
        <v>1972</v>
      </c>
      <c r="T183" s="35" t="s">
        <v>1973</v>
      </c>
      <c r="U183" s="36" t="s">
        <v>1673</v>
      </c>
      <c r="V183" s="35" t="s">
        <v>1673</v>
      </c>
      <c r="W183" s="35" t="s">
        <v>1674</v>
      </c>
      <c r="X183" s="35" t="s">
        <v>1781</v>
      </c>
      <c r="Y183" s="496"/>
      <c r="Z183" s="149" t="s">
        <v>276</v>
      </c>
      <c r="AA183" s="150">
        <v>15000</v>
      </c>
      <c r="AB183" s="35" t="s">
        <v>1946</v>
      </c>
      <c r="AC183" s="239" t="s">
        <v>256</v>
      </c>
    </row>
    <row r="184" spans="2:29" ht="12.75">
      <c r="B184" s="57" t="s">
        <v>1972</v>
      </c>
      <c r="C184" s="57" t="s">
        <v>1973</v>
      </c>
      <c r="D184" s="58" t="s">
        <v>1673</v>
      </c>
      <c r="E184" s="57" t="s">
        <v>1673</v>
      </c>
      <c r="F184" s="57" t="s">
        <v>1674</v>
      </c>
      <c r="G184" s="57" t="s">
        <v>1799</v>
      </c>
      <c r="H184" s="59" t="s">
        <v>1994</v>
      </c>
      <c r="I184" s="57">
        <v>0.85</v>
      </c>
      <c r="J184" s="78">
        <v>1.8970969214592055</v>
      </c>
      <c r="K184" s="84" t="s">
        <v>274</v>
      </c>
      <c r="L184" s="524">
        <v>1.6401708719887149</v>
      </c>
      <c r="M184" s="62">
        <v>6.6000000000000003E-2</v>
      </c>
      <c r="N184" s="84" t="s">
        <v>274</v>
      </c>
      <c r="O184" s="522" t="s">
        <v>1975</v>
      </c>
      <c r="P184" s="57" t="s">
        <v>1523</v>
      </c>
      <c r="Q184" s="235" t="s">
        <v>275</v>
      </c>
      <c r="S184" s="57" t="s">
        <v>1972</v>
      </c>
      <c r="T184" s="57" t="s">
        <v>1973</v>
      </c>
      <c r="U184" s="58" t="s">
        <v>1673</v>
      </c>
      <c r="V184" s="57" t="s">
        <v>1673</v>
      </c>
      <c r="W184" s="57" t="s">
        <v>1674</v>
      </c>
      <c r="X184" s="57" t="s">
        <v>1799</v>
      </c>
      <c r="Y184" s="504">
        <v>20000</v>
      </c>
      <c r="Z184" s="143" t="s">
        <v>274</v>
      </c>
      <c r="AA184" s="144">
        <v>15000</v>
      </c>
      <c r="AB184" s="57" t="s">
        <v>1943</v>
      </c>
      <c r="AC184" s="238" t="s">
        <v>275</v>
      </c>
    </row>
    <row r="185" spans="2:29" ht="12.75">
      <c r="B185" s="57" t="s">
        <v>1972</v>
      </c>
      <c r="C185" s="57" t="s">
        <v>1973</v>
      </c>
      <c r="D185" s="58" t="s">
        <v>1673</v>
      </c>
      <c r="E185" s="57" t="s">
        <v>1673</v>
      </c>
      <c r="F185" s="57" t="s">
        <v>1674</v>
      </c>
      <c r="G185" s="57" t="s">
        <v>1799</v>
      </c>
      <c r="H185" s="59" t="s">
        <v>1994</v>
      </c>
      <c r="I185" s="57">
        <v>0.85</v>
      </c>
      <c r="J185" s="78">
        <v>1.8970969214592055</v>
      </c>
      <c r="K185" s="84" t="s">
        <v>276</v>
      </c>
      <c r="L185" s="524"/>
      <c r="M185" s="62">
        <v>6.6000000000000003E-2</v>
      </c>
      <c r="N185" s="84" t="s">
        <v>274</v>
      </c>
      <c r="O185" s="522"/>
      <c r="P185" s="57" t="s">
        <v>1944</v>
      </c>
      <c r="Q185" s="236" t="s">
        <v>277</v>
      </c>
      <c r="S185" s="57" t="s">
        <v>1972</v>
      </c>
      <c r="T185" s="57" t="s">
        <v>1973</v>
      </c>
      <c r="U185" s="58" t="s">
        <v>1673</v>
      </c>
      <c r="V185" s="57" t="s">
        <v>1673</v>
      </c>
      <c r="W185" s="57" t="s">
        <v>1674</v>
      </c>
      <c r="X185" s="57" t="s">
        <v>1799</v>
      </c>
      <c r="Y185" s="504"/>
      <c r="Z185" s="145" t="s">
        <v>276</v>
      </c>
      <c r="AA185" s="146">
        <v>15000</v>
      </c>
      <c r="AB185" s="506" t="s">
        <v>1944</v>
      </c>
      <c r="AC185" s="490" t="s">
        <v>277</v>
      </c>
    </row>
    <row r="186" spans="2:29" ht="12.75">
      <c r="B186" s="57" t="s">
        <v>1972</v>
      </c>
      <c r="C186" s="57" t="s">
        <v>1973</v>
      </c>
      <c r="D186" s="58" t="s">
        <v>1673</v>
      </c>
      <c r="E186" s="57" t="s">
        <v>1673</v>
      </c>
      <c r="F186" s="57" t="s">
        <v>1674</v>
      </c>
      <c r="G186" s="57" t="s">
        <v>1799</v>
      </c>
      <c r="H186" s="59">
        <v>4.1900000000000005E-4</v>
      </c>
      <c r="I186" s="57">
        <v>0.85</v>
      </c>
      <c r="J186" s="78">
        <v>1.8970969214592055</v>
      </c>
      <c r="K186" s="84" t="s">
        <v>274</v>
      </c>
      <c r="L186" s="524"/>
      <c r="M186" s="62">
        <v>6.6000000000000003E-2</v>
      </c>
      <c r="N186" s="84" t="s">
        <v>276</v>
      </c>
      <c r="O186" s="522"/>
      <c r="P186" s="57" t="s">
        <v>1944</v>
      </c>
      <c r="Q186" s="236" t="s">
        <v>277</v>
      </c>
      <c r="S186" s="57" t="s">
        <v>1972</v>
      </c>
      <c r="T186" s="57" t="s">
        <v>1973</v>
      </c>
      <c r="U186" s="58" t="s">
        <v>1673</v>
      </c>
      <c r="V186" s="57" t="s">
        <v>1673</v>
      </c>
      <c r="W186" s="57" t="s">
        <v>1674</v>
      </c>
      <c r="X186" s="57" t="s">
        <v>1799</v>
      </c>
      <c r="Y186" s="504"/>
      <c r="Z186" s="147" t="s">
        <v>274</v>
      </c>
      <c r="AA186" s="148">
        <v>25000</v>
      </c>
      <c r="AB186" s="506"/>
      <c r="AC186" s="490"/>
    </row>
    <row r="187" spans="2:29" ht="12.75">
      <c r="B187" s="57" t="s">
        <v>1972</v>
      </c>
      <c r="C187" s="57" t="s">
        <v>1973</v>
      </c>
      <c r="D187" s="58" t="s">
        <v>1673</v>
      </c>
      <c r="E187" s="57" t="s">
        <v>1673</v>
      </c>
      <c r="F187" s="57" t="s">
        <v>1674</v>
      </c>
      <c r="G187" s="57" t="s">
        <v>1799</v>
      </c>
      <c r="H187" s="59">
        <v>4.1900000000000005E-4</v>
      </c>
      <c r="I187" s="57">
        <v>0.85</v>
      </c>
      <c r="J187" s="78">
        <v>1.8970969214592055</v>
      </c>
      <c r="K187" s="84" t="s">
        <v>276</v>
      </c>
      <c r="L187" s="524"/>
      <c r="M187" s="62">
        <v>6.6000000000000003E-2</v>
      </c>
      <c r="N187" s="84" t="s">
        <v>276</v>
      </c>
      <c r="O187" s="522"/>
      <c r="P187" s="57" t="s">
        <v>1945</v>
      </c>
      <c r="Q187" s="237" t="s">
        <v>256</v>
      </c>
      <c r="S187" s="57" t="s">
        <v>1972</v>
      </c>
      <c r="T187" s="57" t="s">
        <v>1973</v>
      </c>
      <c r="U187" s="58" t="s">
        <v>1673</v>
      </c>
      <c r="V187" s="57" t="s">
        <v>1673</v>
      </c>
      <c r="W187" s="57" t="s">
        <v>1674</v>
      </c>
      <c r="X187" s="57" t="s">
        <v>1799</v>
      </c>
      <c r="Y187" s="504"/>
      <c r="Z187" s="143" t="s">
        <v>276</v>
      </c>
      <c r="AA187" s="144">
        <v>25000</v>
      </c>
      <c r="AB187" s="57" t="s">
        <v>1946</v>
      </c>
      <c r="AC187" s="239" t="s">
        <v>256</v>
      </c>
    </row>
    <row r="188" spans="2:29" ht="12.75">
      <c r="B188" s="47" t="s">
        <v>1972</v>
      </c>
      <c r="C188" s="47" t="s">
        <v>1973</v>
      </c>
      <c r="D188" s="48" t="s">
        <v>1673</v>
      </c>
      <c r="E188" s="47" t="s">
        <v>1673</v>
      </c>
      <c r="F188" s="47" t="s">
        <v>1673</v>
      </c>
      <c r="G188" s="47" t="s">
        <v>1778</v>
      </c>
      <c r="H188" s="49" t="s">
        <v>1995</v>
      </c>
      <c r="I188" s="47">
        <v>0.85</v>
      </c>
      <c r="J188" s="78">
        <v>1.047374872386255</v>
      </c>
      <c r="K188" s="80" t="s">
        <v>274</v>
      </c>
      <c r="L188" s="510">
        <v>1.6401708719887149</v>
      </c>
      <c r="M188" s="62">
        <v>5.0999999999999997E-2</v>
      </c>
      <c r="N188" s="80" t="s">
        <v>274</v>
      </c>
      <c r="O188" s="513" t="s">
        <v>1975</v>
      </c>
      <c r="P188" s="35" t="s">
        <v>1523</v>
      </c>
      <c r="Q188" s="235" t="s">
        <v>275</v>
      </c>
      <c r="S188" s="35" t="s">
        <v>1972</v>
      </c>
      <c r="T188" s="35" t="s">
        <v>1973</v>
      </c>
      <c r="U188" s="36" t="s">
        <v>1673</v>
      </c>
      <c r="V188" s="35" t="s">
        <v>1673</v>
      </c>
      <c r="W188" s="35" t="s">
        <v>1673</v>
      </c>
      <c r="X188" s="35" t="s">
        <v>1778</v>
      </c>
      <c r="Y188" s="496">
        <v>18000</v>
      </c>
      <c r="Z188" s="149" t="s">
        <v>274</v>
      </c>
      <c r="AA188" s="150">
        <v>13500</v>
      </c>
      <c r="AB188" s="35" t="s">
        <v>1943</v>
      </c>
      <c r="AC188" s="238" t="s">
        <v>275</v>
      </c>
    </row>
    <row r="189" spans="2:29" ht="12.75">
      <c r="B189" s="47" t="s">
        <v>1972</v>
      </c>
      <c r="C189" s="47" t="s">
        <v>1973</v>
      </c>
      <c r="D189" s="48" t="s">
        <v>1673</v>
      </c>
      <c r="E189" s="47" t="s">
        <v>1673</v>
      </c>
      <c r="F189" s="47" t="s">
        <v>1673</v>
      </c>
      <c r="G189" s="47" t="s">
        <v>1778</v>
      </c>
      <c r="H189" s="49" t="s">
        <v>1995</v>
      </c>
      <c r="I189" s="47">
        <v>0.85</v>
      </c>
      <c r="J189" s="78">
        <v>1.047374872386255</v>
      </c>
      <c r="K189" s="80" t="s">
        <v>276</v>
      </c>
      <c r="L189" s="510"/>
      <c r="M189" s="62">
        <v>5.0999999999999997E-2</v>
      </c>
      <c r="N189" s="80" t="s">
        <v>274</v>
      </c>
      <c r="O189" s="513"/>
      <c r="P189" s="35" t="s">
        <v>1944</v>
      </c>
      <c r="Q189" s="236" t="s">
        <v>277</v>
      </c>
      <c r="S189" s="35" t="s">
        <v>1972</v>
      </c>
      <c r="T189" s="35" t="s">
        <v>1973</v>
      </c>
      <c r="U189" s="36" t="s">
        <v>1673</v>
      </c>
      <c r="V189" s="35" t="s">
        <v>1673</v>
      </c>
      <c r="W189" s="35" t="s">
        <v>1673</v>
      </c>
      <c r="X189" s="35" t="s">
        <v>1778</v>
      </c>
      <c r="Y189" s="496"/>
      <c r="Z189" s="151" t="s">
        <v>276</v>
      </c>
      <c r="AA189" s="152">
        <v>13500</v>
      </c>
      <c r="AB189" s="491" t="s">
        <v>1944</v>
      </c>
      <c r="AC189" s="490" t="s">
        <v>277</v>
      </c>
    </row>
    <row r="190" spans="2:29" ht="12.75">
      <c r="B190" s="47" t="s">
        <v>1972</v>
      </c>
      <c r="C190" s="47" t="s">
        <v>1973</v>
      </c>
      <c r="D190" s="48" t="s">
        <v>1673</v>
      </c>
      <c r="E190" s="47" t="s">
        <v>1673</v>
      </c>
      <c r="F190" s="47" t="s">
        <v>1673</v>
      </c>
      <c r="G190" s="47" t="s">
        <v>1778</v>
      </c>
      <c r="H190" s="49">
        <v>2.5299999999999997E-4</v>
      </c>
      <c r="I190" s="47">
        <v>0.85</v>
      </c>
      <c r="J190" s="78">
        <v>1.047374872386255</v>
      </c>
      <c r="K190" s="80" t="s">
        <v>274</v>
      </c>
      <c r="L190" s="510"/>
      <c r="M190" s="62">
        <v>5.0999999999999997E-2</v>
      </c>
      <c r="N190" s="80" t="s">
        <v>276</v>
      </c>
      <c r="O190" s="513"/>
      <c r="P190" s="35" t="s">
        <v>1944</v>
      </c>
      <c r="Q190" s="236" t="s">
        <v>277</v>
      </c>
      <c r="S190" s="35" t="s">
        <v>1972</v>
      </c>
      <c r="T190" s="35" t="s">
        <v>1973</v>
      </c>
      <c r="U190" s="36" t="s">
        <v>1673</v>
      </c>
      <c r="V190" s="35" t="s">
        <v>1673</v>
      </c>
      <c r="W190" s="35" t="s">
        <v>1673</v>
      </c>
      <c r="X190" s="35" t="s">
        <v>1778</v>
      </c>
      <c r="Y190" s="496"/>
      <c r="Z190" s="153" t="s">
        <v>274</v>
      </c>
      <c r="AA190" s="154">
        <v>22500</v>
      </c>
      <c r="AB190" s="491"/>
      <c r="AC190" s="490"/>
    </row>
    <row r="191" spans="2:29" ht="12.75">
      <c r="B191" s="47" t="s">
        <v>1972</v>
      </c>
      <c r="C191" s="47" t="s">
        <v>1973</v>
      </c>
      <c r="D191" s="48" t="s">
        <v>1673</v>
      </c>
      <c r="E191" s="47" t="s">
        <v>1673</v>
      </c>
      <c r="F191" s="47" t="s">
        <v>1673</v>
      </c>
      <c r="G191" s="47" t="s">
        <v>1778</v>
      </c>
      <c r="H191" s="49">
        <v>2.5299999999999997E-4</v>
      </c>
      <c r="I191" s="47">
        <v>0.85</v>
      </c>
      <c r="J191" s="78">
        <v>1.047374872386255</v>
      </c>
      <c r="K191" s="80" t="s">
        <v>276</v>
      </c>
      <c r="L191" s="510"/>
      <c r="M191" s="62">
        <v>5.0999999999999997E-2</v>
      </c>
      <c r="N191" s="80" t="s">
        <v>276</v>
      </c>
      <c r="O191" s="513"/>
      <c r="P191" s="35" t="s">
        <v>1945</v>
      </c>
      <c r="Q191" s="237" t="s">
        <v>256</v>
      </c>
      <c r="S191" s="35" t="s">
        <v>1972</v>
      </c>
      <c r="T191" s="35" t="s">
        <v>1973</v>
      </c>
      <c r="U191" s="36" t="s">
        <v>1673</v>
      </c>
      <c r="V191" s="35" t="s">
        <v>1673</v>
      </c>
      <c r="W191" s="35" t="s">
        <v>1673</v>
      </c>
      <c r="X191" s="35" t="s">
        <v>1778</v>
      </c>
      <c r="Y191" s="496"/>
      <c r="Z191" s="149" t="s">
        <v>276</v>
      </c>
      <c r="AA191" s="150">
        <v>22500</v>
      </c>
      <c r="AB191" s="35" t="s">
        <v>1946</v>
      </c>
      <c r="AC191" s="239" t="s">
        <v>256</v>
      </c>
    </row>
    <row r="192" spans="2:29" ht="12.75">
      <c r="B192" s="57" t="s">
        <v>1972</v>
      </c>
      <c r="C192" s="57" t="s">
        <v>1973</v>
      </c>
      <c r="D192" s="58" t="s">
        <v>1673</v>
      </c>
      <c r="E192" s="57" t="s">
        <v>1673</v>
      </c>
      <c r="F192" s="57" t="s">
        <v>1673</v>
      </c>
      <c r="G192" s="57" t="s">
        <v>1781</v>
      </c>
      <c r="H192" s="59" t="s">
        <v>1996</v>
      </c>
      <c r="I192" s="57">
        <v>0.85</v>
      </c>
      <c r="J192" s="78">
        <v>0.8798837840122844</v>
      </c>
      <c r="K192" s="84" t="s">
        <v>274</v>
      </c>
      <c r="L192" s="524">
        <v>1.6401708719887149</v>
      </c>
      <c r="M192" s="62">
        <v>6.6000000000000003E-2</v>
      </c>
      <c r="N192" s="84" t="s">
        <v>274</v>
      </c>
      <c r="O192" s="522" t="s">
        <v>1975</v>
      </c>
      <c r="P192" s="57" t="s">
        <v>1523</v>
      </c>
      <c r="Q192" s="235" t="s">
        <v>275</v>
      </c>
      <c r="S192" s="57" t="s">
        <v>1972</v>
      </c>
      <c r="T192" s="57" t="s">
        <v>1973</v>
      </c>
      <c r="U192" s="58" t="s">
        <v>1673</v>
      </c>
      <c r="V192" s="57" t="s">
        <v>1673</v>
      </c>
      <c r="W192" s="57" t="s">
        <v>1673</v>
      </c>
      <c r="X192" s="57" t="s">
        <v>1781</v>
      </c>
      <c r="Y192" s="504">
        <v>12000</v>
      </c>
      <c r="Z192" s="143" t="s">
        <v>274</v>
      </c>
      <c r="AA192" s="144">
        <v>9000</v>
      </c>
      <c r="AB192" s="57" t="s">
        <v>1943</v>
      </c>
      <c r="AC192" s="238" t="s">
        <v>275</v>
      </c>
    </row>
    <row r="193" spans="2:29" ht="12.75">
      <c r="B193" s="57" t="s">
        <v>1972</v>
      </c>
      <c r="C193" s="57" t="s">
        <v>1973</v>
      </c>
      <c r="D193" s="58" t="s">
        <v>1673</v>
      </c>
      <c r="E193" s="57" t="s">
        <v>1673</v>
      </c>
      <c r="F193" s="57" t="s">
        <v>1673</v>
      </c>
      <c r="G193" s="57" t="s">
        <v>1781</v>
      </c>
      <c r="H193" s="59" t="s">
        <v>1996</v>
      </c>
      <c r="I193" s="57">
        <v>0.85</v>
      </c>
      <c r="J193" s="78">
        <v>0.8798837840122844</v>
      </c>
      <c r="K193" s="84" t="s">
        <v>276</v>
      </c>
      <c r="L193" s="524"/>
      <c r="M193" s="62">
        <v>6.6000000000000003E-2</v>
      </c>
      <c r="N193" s="84" t="s">
        <v>274</v>
      </c>
      <c r="O193" s="522"/>
      <c r="P193" s="57" t="s">
        <v>1944</v>
      </c>
      <c r="Q193" s="236" t="s">
        <v>277</v>
      </c>
      <c r="S193" s="57" t="s">
        <v>1972</v>
      </c>
      <c r="T193" s="57" t="s">
        <v>1973</v>
      </c>
      <c r="U193" s="58" t="s">
        <v>1673</v>
      </c>
      <c r="V193" s="57" t="s">
        <v>1673</v>
      </c>
      <c r="W193" s="57" t="s">
        <v>1673</v>
      </c>
      <c r="X193" s="57" t="s">
        <v>1781</v>
      </c>
      <c r="Y193" s="504"/>
      <c r="Z193" s="145" t="s">
        <v>276</v>
      </c>
      <c r="AA193" s="146">
        <v>9000</v>
      </c>
      <c r="AB193" s="506" t="s">
        <v>1944</v>
      </c>
      <c r="AC193" s="490" t="s">
        <v>277</v>
      </c>
    </row>
    <row r="194" spans="2:29" ht="12.75">
      <c r="B194" s="57" t="s">
        <v>1972</v>
      </c>
      <c r="C194" s="57" t="s">
        <v>1973</v>
      </c>
      <c r="D194" s="58" t="s">
        <v>1673</v>
      </c>
      <c r="E194" s="57" t="s">
        <v>1673</v>
      </c>
      <c r="F194" s="57" t="s">
        <v>1673</v>
      </c>
      <c r="G194" s="57" t="s">
        <v>1781</v>
      </c>
      <c r="H194" s="59">
        <v>3.0000000000000003E-4</v>
      </c>
      <c r="I194" s="57">
        <v>0.85</v>
      </c>
      <c r="J194" s="78">
        <v>0.8798837840122844</v>
      </c>
      <c r="K194" s="84" t="s">
        <v>274</v>
      </c>
      <c r="L194" s="524"/>
      <c r="M194" s="62">
        <v>6.6000000000000003E-2</v>
      </c>
      <c r="N194" s="84" t="s">
        <v>276</v>
      </c>
      <c r="O194" s="522"/>
      <c r="P194" s="57" t="s">
        <v>1944</v>
      </c>
      <c r="Q194" s="236" t="s">
        <v>277</v>
      </c>
      <c r="S194" s="57" t="s">
        <v>1972</v>
      </c>
      <c r="T194" s="57" t="s">
        <v>1973</v>
      </c>
      <c r="U194" s="58" t="s">
        <v>1673</v>
      </c>
      <c r="V194" s="57" t="s">
        <v>1673</v>
      </c>
      <c r="W194" s="57" t="s">
        <v>1673</v>
      </c>
      <c r="X194" s="57" t="s">
        <v>1781</v>
      </c>
      <c r="Y194" s="504"/>
      <c r="Z194" s="147" t="s">
        <v>274</v>
      </c>
      <c r="AA194" s="148">
        <v>15000</v>
      </c>
      <c r="AB194" s="506"/>
      <c r="AC194" s="490"/>
    </row>
    <row r="195" spans="2:29" ht="12.75">
      <c r="B195" s="57" t="s">
        <v>1972</v>
      </c>
      <c r="C195" s="57" t="s">
        <v>1973</v>
      </c>
      <c r="D195" s="58" t="s">
        <v>1673</v>
      </c>
      <c r="E195" s="57" t="s">
        <v>1673</v>
      </c>
      <c r="F195" s="57" t="s">
        <v>1673</v>
      </c>
      <c r="G195" s="57" t="s">
        <v>1781</v>
      </c>
      <c r="H195" s="59">
        <v>3.0000000000000003E-4</v>
      </c>
      <c r="I195" s="57">
        <v>0.85</v>
      </c>
      <c r="J195" s="78">
        <v>0.8798837840122844</v>
      </c>
      <c r="K195" s="84" t="s">
        <v>276</v>
      </c>
      <c r="L195" s="524"/>
      <c r="M195" s="62">
        <v>6.6000000000000003E-2</v>
      </c>
      <c r="N195" s="84" t="s">
        <v>276</v>
      </c>
      <c r="O195" s="522"/>
      <c r="P195" s="57" t="s">
        <v>1945</v>
      </c>
      <c r="Q195" s="237" t="s">
        <v>256</v>
      </c>
      <c r="S195" s="57" t="s">
        <v>1972</v>
      </c>
      <c r="T195" s="57" t="s">
        <v>1973</v>
      </c>
      <c r="U195" s="58" t="s">
        <v>1673</v>
      </c>
      <c r="V195" s="57" t="s">
        <v>1673</v>
      </c>
      <c r="W195" s="57" t="s">
        <v>1673</v>
      </c>
      <c r="X195" s="57" t="s">
        <v>1781</v>
      </c>
      <c r="Y195" s="504"/>
      <c r="Z195" s="143" t="s">
        <v>276</v>
      </c>
      <c r="AA195" s="144">
        <v>15000</v>
      </c>
      <c r="AB195" s="57" t="s">
        <v>1946</v>
      </c>
      <c r="AC195" s="239" t="s">
        <v>256</v>
      </c>
    </row>
    <row r="196" spans="2:29" ht="12.75">
      <c r="B196" s="47" t="s">
        <v>1972</v>
      </c>
      <c r="C196" s="47" t="s">
        <v>1973</v>
      </c>
      <c r="D196" s="48" t="s">
        <v>1673</v>
      </c>
      <c r="E196" s="47" t="s">
        <v>1673</v>
      </c>
      <c r="F196" s="47" t="s">
        <v>1673</v>
      </c>
      <c r="G196" s="47" t="s">
        <v>1799</v>
      </c>
      <c r="H196" s="49" t="s">
        <v>1997</v>
      </c>
      <c r="I196" s="47">
        <v>0.85</v>
      </c>
      <c r="J196" s="78">
        <v>1.2677497327173686</v>
      </c>
      <c r="K196" s="80" t="s">
        <v>274</v>
      </c>
      <c r="L196" s="510">
        <v>1.6401708719887149</v>
      </c>
      <c r="M196" s="62">
        <v>6.6000000000000003E-2</v>
      </c>
      <c r="N196" s="80" t="s">
        <v>274</v>
      </c>
      <c r="O196" s="513" t="s">
        <v>1975</v>
      </c>
      <c r="P196" s="35" t="s">
        <v>1523</v>
      </c>
      <c r="Q196" s="235" t="s">
        <v>275</v>
      </c>
      <c r="S196" s="35" t="s">
        <v>1972</v>
      </c>
      <c r="T196" s="35" t="s">
        <v>1973</v>
      </c>
      <c r="U196" s="36" t="s">
        <v>1673</v>
      </c>
      <c r="V196" s="35" t="s">
        <v>1673</v>
      </c>
      <c r="W196" s="35" t="s">
        <v>1673</v>
      </c>
      <c r="X196" s="35" t="s">
        <v>1799</v>
      </c>
      <c r="Y196" s="496">
        <v>20000</v>
      </c>
      <c r="Z196" s="149" t="s">
        <v>274</v>
      </c>
      <c r="AA196" s="150">
        <v>15000</v>
      </c>
      <c r="AB196" s="35" t="s">
        <v>1943</v>
      </c>
      <c r="AC196" s="238" t="s">
        <v>275</v>
      </c>
    </row>
    <row r="197" spans="2:29" ht="12.75">
      <c r="B197" s="47" t="s">
        <v>1972</v>
      </c>
      <c r="C197" s="47" t="s">
        <v>1973</v>
      </c>
      <c r="D197" s="48" t="s">
        <v>1673</v>
      </c>
      <c r="E197" s="47" t="s">
        <v>1673</v>
      </c>
      <c r="F197" s="47" t="s">
        <v>1673</v>
      </c>
      <c r="G197" s="47" t="s">
        <v>1799</v>
      </c>
      <c r="H197" s="49" t="s">
        <v>1997</v>
      </c>
      <c r="I197" s="47">
        <v>0.85</v>
      </c>
      <c r="J197" s="78">
        <v>1.2677497327173686</v>
      </c>
      <c r="K197" s="80" t="s">
        <v>276</v>
      </c>
      <c r="L197" s="510"/>
      <c r="M197" s="62">
        <v>6.6000000000000003E-2</v>
      </c>
      <c r="N197" s="80" t="s">
        <v>274</v>
      </c>
      <c r="O197" s="513"/>
      <c r="P197" s="35" t="s">
        <v>1944</v>
      </c>
      <c r="Q197" s="236" t="s">
        <v>277</v>
      </c>
      <c r="S197" s="35" t="s">
        <v>1972</v>
      </c>
      <c r="T197" s="35" t="s">
        <v>1973</v>
      </c>
      <c r="U197" s="36" t="s">
        <v>1673</v>
      </c>
      <c r="V197" s="35" t="s">
        <v>1673</v>
      </c>
      <c r="W197" s="35" t="s">
        <v>1673</v>
      </c>
      <c r="X197" s="35" t="s">
        <v>1799</v>
      </c>
      <c r="Y197" s="496"/>
      <c r="Z197" s="151" t="s">
        <v>276</v>
      </c>
      <c r="AA197" s="152">
        <v>15000</v>
      </c>
      <c r="AB197" s="491" t="s">
        <v>1944</v>
      </c>
      <c r="AC197" s="490" t="s">
        <v>277</v>
      </c>
    </row>
    <row r="198" spans="2:29" ht="12.75">
      <c r="B198" s="47" t="s">
        <v>1972</v>
      </c>
      <c r="C198" s="47" t="s">
        <v>1973</v>
      </c>
      <c r="D198" s="48" t="s">
        <v>1673</v>
      </c>
      <c r="E198" s="47" t="s">
        <v>1673</v>
      </c>
      <c r="F198" s="47" t="s">
        <v>1673</v>
      </c>
      <c r="G198" s="47" t="s">
        <v>1799</v>
      </c>
      <c r="H198" s="49">
        <v>2.7999999999999998E-4</v>
      </c>
      <c r="I198" s="47">
        <v>0.85</v>
      </c>
      <c r="J198" s="78">
        <v>1.2677497327173686</v>
      </c>
      <c r="K198" s="80" t="s">
        <v>274</v>
      </c>
      <c r="L198" s="510"/>
      <c r="M198" s="62">
        <v>6.6000000000000003E-2</v>
      </c>
      <c r="N198" s="80" t="s">
        <v>276</v>
      </c>
      <c r="O198" s="513"/>
      <c r="P198" s="35" t="s">
        <v>1944</v>
      </c>
      <c r="Q198" s="236" t="s">
        <v>277</v>
      </c>
      <c r="S198" s="35" t="s">
        <v>1972</v>
      </c>
      <c r="T198" s="35" t="s">
        <v>1973</v>
      </c>
      <c r="U198" s="36" t="s">
        <v>1673</v>
      </c>
      <c r="V198" s="35" t="s">
        <v>1673</v>
      </c>
      <c r="W198" s="35" t="s">
        <v>1673</v>
      </c>
      <c r="X198" s="35" t="s">
        <v>1799</v>
      </c>
      <c r="Y198" s="496"/>
      <c r="Z198" s="153" t="s">
        <v>274</v>
      </c>
      <c r="AA198" s="154">
        <v>25000</v>
      </c>
      <c r="AB198" s="491"/>
      <c r="AC198" s="490"/>
    </row>
    <row r="199" spans="2:29" ht="12.75">
      <c r="B199" s="47" t="s">
        <v>1972</v>
      </c>
      <c r="C199" s="47" t="s">
        <v>1973</v>
      </c>
      <c r="D199" s="48" t="s">
        <v>1673</v>
      </c>
      <c r="E199" s="47" t="s">
        <v>1673</v>
      </c>
      <c r="F199" s="47" t="s">
        <v>1673</v>
      </c>
      <c r="G199" s="47" t="s">
        <v>1799</v>
      </c>
      <c r="H199" s="49">
        <v>2.7999999999999998E-4</v>
      </c>
      <c r="I199" s="47">
        <v>0.85</v>
      </c>
      <c r="J199" s="78">
        <v>1.2677497327173686</v>
      </c>
      <c r="K199" s="80" t="s">
        <v>276</v>
      </c>
      <c r="L199" s="510"/>
      <c r="M199" s="62">
        <v>6.6000000000000003E-2</v>
      </c>
      <c r="N199" s="80" t="s">
        <v>276</v>
      </c>
      <c r="O199" s="513"/>
      <c r="P199" s="35" t="s">
        <v>1945</v>
      </c>
      <c r="Q199" s="237" t="s">
        <v>256</v>
      </c>
      <c r="S199" s="35" t="s">
        <v>1972</v>
      </c>
      <c r="T199" s="35" t="s">
        <v>1973</v>
      </c>
      <c r="U199" s="36" t="s">
        <v>1673</v>
      </c>
      <c r="V199" s="35" t="s">
        <v>1673</v>
      </c>
      <c r="W199" s="35" t="s">
        <v>1673</v>
      </c>
      <c r="X199" s="35" t="s">
        <v>1799</v>
      </c>
      <c r="Y199" s="496"/>
      <c r="Z199" s="149" t="s">
        <v>276</v>
      </c>
      <c r="AA199" s="150">
        <v>25000</v>
      </c>
      <c r="AB199" s="35" t="s">
        <v>1946</v>
      </c>
      <c r="AC199" s="239" t="s">
        <v>256</v>
      </c>
    </row>
    <row r="200" spans="2:29" ht="12.75">
      <c r="B200" s="50" t="s">
        <v>1972</v>
      </c>
      <c r="C200" s="50" t="s">
        <v>1998</v>
      </c>
      <c r="D200" s="51" t="s">
        <v>1674</v>
      </c>
      <c r="E200" s="50" t="s">
        <v>1674</v>
      </c>
      <c r="F200" s="50" t="s">
        <v>1674</v>
      </c>
      <c r="G200" s="50" t="s">
        <v>1778</v>
      </c>
      <c r="H200" s="52" t="s">
        <v>1999</v>
      </c>
      <c r="I200" s="50">
        <v>0.85</v>
      </c>
      <c r="J200" s="78">
        <v>1.3269984062223981</v>
      </c>
      <c r="K200" s="85" t="s">
        <v>274</v>
      </c>
      <c r="L200" s="523">
        <v>1.8305478482016908</v>
      </c>
      <c r="M200" s="62">
        <v>6.4000000000000001E-2</v>
      </c>
      <c r="N200" s="85" t="s">
        <v>274</v>
      </c>
      <c r="O200" s="521" t="s">
        <v>2000</v>
      </c>
      <c r="P200" s="50" t="s">
        <v>1523</v>
      </c>
      <c r="Q200" s="235" t="s">
        <v>275</v>
      </c>
      <c r="S200" s="50" t="s">
        <v>1972</v>
      </c>
      <c r="T200" s="50" t="s">
        <v>1998</v>
      </c>
      <c r="U200" s="51" t="s">
        <v>1674</v>
      </c>
      <c r="V200" s="50" t="s">
        <v>1674</v>
      </c>
      <c r="W200" s="50" t="s">
        <v>1674</v>
      </c>
      <c r="X200" s="50" t="s">
        <v>1778</v>
      </c>
      <c r="Y200" s="502">
        <v>3000</v>
      </c>
      <c r="Z200" s="161" t="s">
        <v>274</v>
      </c>
      <c r="AA200" s="162">
        <v>2250</v>
      </c>
      <c r="AB200" s="50" t="s">
        <v>1943</v>
      </c>
      <c r="AC200" s="238" t="s">
        <v>275</v>
      </c>
    </row>
    <row r="201" spans="2:29" ht="12.75">
      <c r="B201" s="50" t="s">
        <v>1972</v>
      </c>
      <c r="C201" s="50" t="s">
        <v>1998</v>
      </c>
      <c r="D201" s="51" t="s">
        <v>1674</v>
      </c>
      <c r="E201" s="50" t="s">
        <v>1674</v>
      </c>
      <c r="F201" s="50" t="s">
        <v>1674</v>
      </c>
      <c r="G201" s="50" t="s">
        <v>1778</v>
      </c>
      <c r="H201" s="52" t="s">
        <v>1999</v>
      </c>
      <c r="I201" s="50">
        <v>0.85</v>
      </c>
      <c r="J201" s="78">
        <v>1.3269984062223981</v>
      </c>
      <c r="K201" s="85" t="s">
        <v>276</v>
      </c>
      <c r="L201" s="523"/>
      <c r="M201" s="62">
        <v>6.4000000000000001E-2</v>
      </c>
      <c r="N201" s="85" t="s">
        <v>274</v>
      </c>
      <c r="O201" s="521"/>
      <c r="P201" s="50" t="s">
        <v>1944</v>
      </c>
      <c r="Q201" s="236" t="s">
        <v>277</v>
      </c>
      <c r="S201" s="50" t="s">
        <v>1972</v>
      </c>
      <c r="T201" s="50" t="s">
        <v>1998</v>
      </c>
      <c r="U201" s="51" t="s">
        <v>1674</v>
      </c>
      <c r="V201" s="50" t="s">
        <v>1674</v>
      </c>
      <c r="W201" s="50" t="s">
        <v>1674</v>
      </c>
      <c r="X201" s="50" t="s">
        <v>1778</v>
      </c>
      <c r="Y201" s="502"/>
      <c r="Z201" s="163" t="s">
        <v>276</v>
      </c>
      <c r="AA201" s="164">
        <v>2250</v>
      </c>
      <c r="AB201" s="529" t="s">
        <v>1944</v>
      </c>
      <c r="AC201" s="490" t="s">
        <v>277</v>
      </c>
    </row>
    <row r="202" spans="2:29" ht="12.75">
      <c r="B202" s="50" t="s">
        <v>1972</v>
      </c>
      <c r="C202" s="50" t="s">
        <v>1998</v>
      </c>
      <c r="D202" s="51" t="s">
        <v>1674</v>
      </c>
      <c r="E202" s="50" t="s">
        <v>1674</v>
      </c>
      <c r="F202" s="50" t="s">
        <v>1674</v>
      </c>
      <c r="G202" s="50" t="s">
        <v>1778</v>
      </c>
      <c r="H202" s="52">
        <v>1.47E-3</v>
      </c>
      <c r="I202" s="50">
        <v>0.85</v>
      </c>
      <c r="J202" s="78">
        <v>1.3269984062223981</v>
      </c>
      <c r="K202" s="85" t="s">
        <v>274</v>
      </c>
      <c r="L202" s="523"/>
      <c r="M202" s="62">
        <v>6.4000000000000001E-2</v>
      </c>
      <c r="N202" s="85" t="s">
        <v>276</v>
      </c>
      <c r="O202" s="521"/>
      <c r="P202" s="50" t="s">
        <v>1944</v>
      </c>
      <c r="Q202" s="236" t="s">
        <v>277</v>
      </c>
      <c r="S202" s="50" t="s">
        <v>1972</v>
      </c>
      <c r="T202" s="50" t="s">
        <v>1998</v>
      </c>
      <c r="U202" s="51" t="s">
        <v>1674</v>
      </c>
      <c r="V202" s="50" t="s">
        <v>1674</v>
      </c>
      <c r="W202" s="50" t="s">
        <v>1674</v>
      </c>
      <c r="X202" s="50" t="s">
        <v>1778</v>
      </c>
      <c r="Y202" s="502"/>
      <c r="Z202" s="165" t="s">
        <v>274</v>
      </c>
      <c r="AA202" s="166">
        <v>3750</v>
      </c>
      <c r="AB202" s="529"/>
      <c r="AC202" s="490"/>
    </row>
    <row r="203" spans="2:29" ht="12.75">
      <c r="B203" s="50" t="s">
        <v>1972</v>
      </c>
      <c r="C203" s="50" t="s">
        <v>1998</v>
      </c>
      <c r="D203" s="51" t="s">
        <v>1674</v>
      </c>
      <c r="E203" s="50" t="s">
        <v>1674</v>
      </c>
      <c r="F203" s="50" t="s">
        <v>1674</v>
      </c>
      <c r="G203" s="50" t="s">
        <v>1778</v>
      </c>
      <c r="H203" s="52">
        <v>1.47E-3</v>
      </c>
      <c r="I203" s="50">
        <v>0.85</v>
      </c>
      <c r="J203" s="78">
        <v>1.3269984062223981</v>
      </c>
      <c r="K203" s="85" t="s">
        <v>276</v>
      </c>
      <c r="L203" s="523"/>
      <c r="M203" s="62">
        <v>6.4000000000000001E-2</v>
      </c>
      <c r="N203" s="85" t="s">
        <v>276</v>
      </c>
      <c r="O203" s="521"/>
      <c r="P203" s="50" t="s">
        <v>1945</v>
      </c>
      <c r="Q203" s="237" t="s">
        <v>256</v>
      </c>
      <c r="S203" s="50" t="s">
        <v>1972</v>
      </c>
      <c r="T203" s="50" t="s">
        <v>1998</v>
      </c>
      <c r="U203" s="51" t="s">
        <v>1674</v>
      </c>
      <c r="V203" s="50" t="s">
        <v>1674</v>
      </c>
      <c r="W203" s="50" t="s">
        <v>1674</v>
      </c>
      <c r="X203" s="50" t="s">
        <v>1778</v>
      </c>
      <c r="Y203" s="502"/>
      <c r="Z203" s="161" t="s">
        <v>276</v>
      </c>
      <c r="AA203" s="162">
        <v>3750</v>
      </c>
      <c r="AB203" s="50" t="s">
        <v>1946</v>
      </c>
      <c r="AC203" s="239" t="s">
        <v>256</v>
      </c>
    </row>
    <row r="204" spans="2:29" ht="12.75">
      <c r="B204" s="47" t="s">
        <v>1972</v>
      </c>
      <c r="C204" s="47" t="s">
        <v>1998</v>
      </c>
      <c r="D204" s="48" t="s">
        <v>1674</v>
      </c>
      <c r="E204" s="47" t="s">
        <v>1674</v>
      </c>
      <c r="F204" s="47" t="s">
        <v>1674</v>
      </c>
      <c r="G204" s="47" t="s">
        <v>1781</v>
      </c>
      <c r="H204" s="49" t="s">
        <v>2001</v>
      </c>
      <c r="I204" s="47">
        <v>0.85</v>
      </c>
      <c r="J204" s="78">
        <v>1.1128195445317222</v>
      </c>
      <c r="K204" s="80" t="s">
        <v>274</v>
      </c>
      <c r="L204" s="510">
        <v>1.8305478482016908</v>
      </c>
      <c r="M204" s="62">
        <v>7.2999999999999995E-2</v>
      </c>
      <c r="N204" s="80" t="s">
        <v>274</v>
      </c>
      <c r="O204" s="513" t="s">
        <v>2000</v>
      </c>
      <c r="P204" s="47" t="s">
        <v>1523</v>
      </c>
      <c r="Q204" s="235" t="s">
        <v>275</v>
      </c>
      <c r="S204" s="47" t="s">
        <v>1972</v>
      </c>
      <c r="T204" s="47" t="s">
        <v>1998</v>
      </c>
      <c r="U204" s="48" t="s">
        <v>1674</v>
      </c>
      <c r="V204" s="47" t="s">
        <v>1674</v>
      </c>
      <c r="W204" s="47" t="s">
        <v>1674</v>
      </c>
      <c r="X204" s="47" t="s">
        <v>1781</v>
      </c>
      <c r="Y204" s="496">
        <v>2000</v>
      </c>
      <c r="Z204" s="149" t="s">
        <v>274</v>
      </c>
      <c r="AA204" s="150">
        <v>1500</v>
      </c>
      <c r="AB204" s="35" t="s">
        <v>1943</v>
      </c>
      <c r="AC204" s="238" t="s">
        <v>275</v>
      </c>
    </row>
    <row r="205" spans="2:29" ht="12.75">
      <c r="B205" s="47" t="s">
        <v>1972</v>
      </c>
      <c r="C205" s="47" t="s">
        <v>1998</v>
      </c>
      <c r="D205" s="48" t="s">
        <v>1674</v>
      </c>
      <c r="E205" s="47" t="s">
        <v>1674</v>
      </c>
      <c r="F205" s="47" t="s">
        <v>1674</v>
      </c>
      <c r="G205" s="47" t="s">
        <v>1781</v>
      </c>
      <c r="H205" s="49" t="s">
        <v>2001</v>
      </c>
      <c r="I205" s="47">
        <v>0.85</v>
      </c>
      <c r="J205" s="78">
        <v>1.1128195445317222</v>
      </c>
      <c r="K205" s="80" t="s">
        <v>276</v>
      </c>
      <c r="L205" s="510"/>
      <c r="M205" s="62">
        <v>7.2999999999999995E-2</v>
      </c>
      <c r="N205" s="80" t="s">
        <v>274</v>
      </c>
      <c r="O205" s="513"/>
      <c r="P205" s="47" t="s">
        <v>1944</v>
      </c>
      <c r="Q205" s="236" t="s">
        <v>277</v>
      </c>
      <c r="S205" s="47" t="s">
        <v>1972</v>
      </c>
      <c r="T205" s="47" t="s">
        <v>1998</v>
      </c>
      <c r="U205" s="48" t="s">
        <v>1674</v>
      </c>
      <c r="V205" s="47" t="s">
        <v>1674</v>
      </c>
      <c r="W205" s="47" t="s">
        <v>1674</v>
      </c>
      <c r="X205" s="47" t="s">
        <v>1781</v>
      </c>
      <c r="Y205" s="496"/>
      <c r="Z205" s="151" t="s">
        <v>276</v>
      </c>
      <c r="AA205" s="152">
        <v>1500</v>
      </c>
      <c r="AB205" s="491" t="s">
        <v>1944</v>
      </c>
      <c r="AC205" s="490" t="s">
        <v>277</v>
      </c>
    </row>
    <row r="206" spans="2:29" ht="12.75">
      <c r="B206" s="47" t="s">
        <v>1972</v>
      </c>
      <c r="C206" s="47" t="s">
        <v>1998</v>
      </c>
      <c r="D206" s="48" t="s">
        <v>1674</v>
      </c>
      <c r="E206" s="47" t="s">
        <v>1674</v>
      </c>
      <c r="F206" s="47" t="s">
        <v>1674</v>
      </c>
      <c r="G206" s="47" t="s">
        <v>1781</v>
      </c>
      <c r="H206" s="49">
        <v>1.74E-3</v>
      </c>
      <c r="I206" s="47">
        <v>0.85</v>
      </c>
      <c r="J206" s="78">
        <v>1.1128195445317222</v>
      </c>
      <c r="K206" s="80" t="s">
        <v>274</v>
      </c>
      <c r="L206" s="510"/>
      <c r="M206" s="62">
        <v>7.2999999999999995E-2</v>
      </c>
      <c r="N206" s="80" t="s">
        <v>276</v>
      </c>
      <c r="O206" s="513"/>
      <c r="P206" s="47" t="s">
        <v>1944</v>
      </c>
      <c r="Q206" s="236" t="s">
        <v>277</v>
      </c>
      <c r="S206" s="47" t="s">
        <v>1972</v>
      </c>
      <c r="T206" s="47" t="s">
        <v>1998</v>
      </c>
      <c r="U206" s="48" t="s">
        <v>1674</v>
      </c>
      <c r="V206" s="47" t="s">
        <v>1674</v>
      </c>
      <c r="W206" s="47" t="s">
        <v>1674</v>
      </c>
      <c r="X206" s="47" t="s">
        <v>1781</v>
      </c>
      <c r="Y206" s="496"/>
      <c r="Z206" s="153" t="s">
        <v>274</v>
      </c>
      <c r="AA206" s="154">
        <v>2500</v>
      </c>
      <c r="AB206" s="491"/>
      <c r="AC206" s="490"/>
    </row>
    <row r="207" spans="2:29" ht="12.75">
      <c r="B207" s="47" t="s">
        <v>1972</v>
      </c>
      <c r="C207" s="47" t="s">
        <v>1998</v>
      </c>
      <c r="D207" s="48" t="s">
        <v>1674</v>
      </c>
      <c r="E207" s="47" t="s">
        <v>1674</v>
      </c>
      <c r="F207" s="47" t="s">
        <v>1674</v>
      </c>
      <c r="G207" s="47" t="s">
        <v>1781</v>
      </c>
      <c r="H207" s="49">
        <v>1.74E-3</v>
      </c>
      <c r="I207" s="47">
        <v>0.85</v>
      </c>
      <c r="J207" s="78">
        <v>1.1128195445317222</v>
      </c>
      <c r="K207" s="80" t="s">
        <v>276</v>
      </c>
      <c r="L207" s="510"/>
      <c r="M207" s="62">
        <v>7.2999999999999995E-2</v>
      </c>
      <c r="N207" s="80" t="s">
        <v>276</v>
      </c>
      <c r="O207" s="513"/>
      <c r="P207" s="47" t="s">
        <v>1945</v>
      </c>
      <c r="Q207" s="237" t="s">
        <v>256</v>
      </c>
      <c r="S207" s="47" t="s">
        <v>1972</v>
      </c>
      <c r="T207" s="47" t="s">
        <v>1998</v>
      </c>
      <c r="U207" s="48" t="s">
        <v>1674</v>
      </c>
      <c r="V207" s="47" t="s">
        <v>1674</v>
      </c>
      <c r="W207" s="47" t="s">
        <v>1674</v>
      </c>
      <c r="X207" s="47" t="s">
        <v>1781</v>
      </c>
      <c r="Y207" s="496"/>
      <c r="Z207" s="149" t="s">
        <v>276</v>
      </c>
      <c r="AA207" s="150">
        <v>2500</v>
      </c>
      <c r="AB207" s="35" t="s">
        <v>1946</v>
      </c>
      <c r="AC207" s="239" t="s">
        <v>256</v>
      </c>
    </row>
    <row r="208" spans="2:29" ht="12.75">
      <c r="B208" s="50" t="s">
        <v>1972</v>
      </c>
      <c r="C208" s="50" t="s">
        <v>1998</v>
      </c>
      <c r="D208" s="51" t="s">
        <v>1674</v>
      </c>
      <c r="E208" s="50" t="s">
        <v>1674</v>
      </c>
      <c r="F208" s="50" t="s">
        <v>1674</v>
      </c>
      <c r="G208" s="50" t="s">
        <v>1799</v>
      </c>
      <c r="H208" s="52" t="s">
        <v>2002</v>
      </c>
      <c r="I208" s="50">
        <v>0.85</v>
      </c>
      <c r="J208" s="78">
        <v>1.6774340022897203</v>
      </c>
      <c r="K208" s="85" t="s">
        <v>274</v>
      </c>
      <c r="L208" s="523">
        <v>1.8305478482016908</v>
      </c>
      <c r="M208" s="62">
        <v>7.2999999999999995E-2</v>
      </c>
      <c r="N208" s="85" t="s">
        <v>274</v>
      </c>
      <c r="O208" s="521" t="s">
        <v>2000</v>
      </c>
      <c r="P208" s="50" t="s">
        <v>1523</v>
      </c>
      <c r="Q208" s="235" t="s">
        <v>275</v>
      </c>
      <c r="S208" s="50" t="s">
        <v>1972</v>
      </c>
      <c r="T208" s="50" t="s">
        <v>1998</v>
      </c>
      <c r="U208" s="51" t="s">
        <v>1674</v>
      </c>
      <c r="V208" s="50" t="s">
        <v>1674</v>
      </c>
      <c r="W208" s="50" t="s">
        <v>1674</v>
      </c>
      <c r="X208" s="50" t="s">
        <v>1799</v>
      </c>
      <c r="Y208" s="502">
        <v>3500</v>
      </c>
      <c r="Z208" s="161" t="s">
        <v>274</v>
      </c>
      <c r="AA208" s="162">
        <v>2625</v>
      </c>
      <c r="AB208" s="50" t="s">
        <v>1943</v>
      </c>
      <c r="AC208" s="238" t="s">
        <v>275</v>
      </c>
    </row>
    <row r="209" spans="2:29" ht="12.75">
      <c r="B209" s="50" t="s">
        <v>1972</v>
      </c>
      <c r="C209" s="50" t="s">
        <v>1998</v>
      </c>
      <c r="D209" s="51" t="s">
        <v>1674</v>
      </c>
      <c r="E209" s="50" t="s">
        <v>1674</v>
      </c>
      <c r="F209" s="50" t="s">
        <v>1674</v>
      </c>
      <c r="G209" s="50" t="s">
        <v>1799</v>
      </c>
      <c r="H209" s="52" t="s">
        <v>2002</v>
      </c>
      <c r="I209" s="50">
        <v>0.85</v>
      </c>
      <c r="J209" s="78">
        <v>1.6774340022897203</v>
      </c>
      <c r="K209" s="85" t="s">
        <v>276</v>
      </c>
      <c r="L209" s="523"/>
      <c r="M209" s="62">
        <v>7.2999999999999995E-2</v>
      </c>
      <c r="N209" s="85" t="s">
        <v>274</v>
      </c>
      <c r="O209" s="521"/>
      <c r="P209" s="50" t="s">
        <v>1944</v>
      </c>
      <c r="Q209" s="236" t="s">
        <v>277</v>
      </c>
      <c r="S209" s="50" t="s">
        <v>1972</v>
      </c>
      <c r="T209" s="50" t="s">
        <v>1998</v>
      </c>
      <c r="U209" s="51" t="s">
        <v>1674</v>
      </c>
      <c r="V209" s="50" t="s">
        <v>1674</v>
      </c>
      <c r="W209" s="50" t="s">
        <v>1674</v>
      </c>
      <c r="X209" s="50" t="s">
        <v>1799</v>
      </c>
      <c r="Y209" s="502"/>
      <c r="Z209" s="163" t="s">
        <v>276</v>
      </c>
      <c r="AA209" s="164">
        <v>2625</v>
      </c>
      <c r="AB209" s="529" t="s">
        <v>1944</v>
      </c>
      <c r="AC209" s="490" t="s">
        <v>277</v>
      </c>
    </row>
    <row r="210" spans="2:29" ht="12.75">
      <c r="B210" s="50" t="s">
        <v>1972</v>
      </c>
      <c r="C210" s="50" t="s">
        <v>1998</v>
      </c>
      <c r="D210" s="51" t="s">
        <v>1674</v>
      </c>
      <c r="E210" s="50" t="s">
        <v>1674</v>
      </c>
      <c r="F210" s="50" t="s">
        <v>1674</v>
      </c>
      <c r="G210" s="50" t="s">
        <v>1799</v>
      </c>
      <c r="H210" s="52">
        <v>1.6299999999999999E-3</v>
      </c>
      <c r="I210" s="50">
        <v>0.85</v>
      </c>
      <c r="J210" s="78">
        <v>1.6774340022897203</v>
      </c>
      <c r="K210" s="85" t="s">
        <v>274</v>
      </c>
      <c r="L210" s="523"/>
      <c r="M210" s="62">
        <v>7.2999999999999995E-2</v>
      </c>
      <c r="N210" s="85" t="s">
        <v>276</v>
      </c>
      <c r="O210" s="521"/>
      <c r="P210" s="50" t="s">
        <v>1944</v>
      </c>
      <c r="Q210" s="236" t="s">
        <v>277</v>
      </c>
      <c r="S210" s="50" t="s">
        <v>1972</v>
      </c>
      <c r="T210" s="50" t="s">
        <v>1998</v>
      </c>
      <c r="U210" s="51" t="s">
        <v>1674</v>
      </c>
      <c r="V210" s="50" t="s">
        <v>1674</v>
      </c>
      <c r="W210" s="50" t="s">
        <v>1674</v>
      </c>
      <c r="X210" s="50" t="s">
        <v>1799</v>
      </c>
      <c r="Y210" s="502"/>
      <c r="Z210" s="165" t="s">
        <v>274</v>
      </c>
      <c r="AA210" s="166">
        <v>4375</v>
      </c>
      <c r="AB210" s="529"/>
      <c r="AC210" s="490"/>
    </row>
    <row r="211" spans="2:29" ht="12.75">
      <c r="B211" s="50" t="s">
        <v>1972</v>
      </c>
      <c r="C211" s="50" t="s">
        <v>1998</v>
      </c>
      <c r="D211" s="51" t="s">
        <v>1674</v>
      </c>
      <c r="E211" s="50" t="s">
        <v>1674</v>
      </c>
      <c r="F211" s="50" t="s">
        <v>1674</v>
      </c>
      <c r="G211" s="50" t="s">
        <v>1799</v>
      </c>
      <c r="H211" s="52">
        <v>1.6299999999999999E-3</v>
      </c>
      <c r="I211" s="50">
        <v>0.85</v>
      </c>
      <c r="J211" s="78">
        <v>1.6774340022897203</v>
      </c>
      <c r="K211" s="85" t="s">
        <v>276</v>
      </c>
      <c r="L211" s="523"/>
      <c r="M211" s="62">
        <v>7.2999999999999995E-2</v>
      </c>
      <c r="N211" s="85" t="s">
        <v>276</v>
      </c>
      <c r="O211" s="521"/>
      <c r="P211" s="50" t="s">
        <v>1945</v>
      </c>
      <c r="Q211" s="237" t="s">
        <v>256</v>
      </c>
      <c r="S211" s="50" t="s">
        <v>1972</v>
      </c>
      <c r="T211" s="50" t="s">
        <v>1998</v>
      </c>
      <c r="U211" s="51" t="s">
        <v>1674</v>
      </c>
      <c r="V211" s="50" t="s">
        <v>1674</v>
      </c>
      <c r="W211" s="50" t="s">
        <v>1674</v>
      </c>
      <c r="X211" s="50" t="s">
        <v>1799</v>
      </c>
      <c r="Y211" s="502"/>
      <c r="Z211" s="161" t="s">
        <v>276</v>
      </c>
      <c r="AA211" s="162">
        <v>4375</v>
      </c>
      <c r="AB211" s="50" t="s">
        <v>1946</v>
      </c>
      <c r="AC211" s="239" t="s">
        <v>256</v>
      </c>
    </row>
    <row r="212" spans="2:29" ht="12.75">
      <c r="B212" s="47" t="s">
        <v>1972</v>
      </c>
      <c r="C212" s="47" t="s">
        <v>1998</v>
      </c>
      <c r="D212" s="48" t="s">
        <v>1674</v>
      </c>
      <c r="E212" s="47" t="s">
        <v>1674</v>
      </c>
      <c r="F212" s="47" t="s">
        <v>1673</v>
      </c>
      <c r="G212" s="47" t="s">
        <v>1778</v>
      </c>
      <c r="H212" s="49" t="s">
        <v>2003</v>
      </c>
      <c r="I212" s="47">
        <v>0.85</v>
      </c>
      <c r="J212" s="78">
        <v>0.88647104415673128</v>
      </c>
      <c r="K212" s="80" t="s">
        <v>274</v>
      </c>
      <c r="L212" s="510">
        <v>1.8305478482016908</v>
      </c>
      <c r="M212" s="62">
        <v>6.4000000000000001E-2</v>
      </c>
      <c r="N212" s="80" t="s">
        <v>274</v>
      </c>
      <c r="O212" s="513" t="s">
        <v>2000</v>
      </c>
      <c r="P212" s="47" t="s">
        <v>1523</v>
      </c>
      <c r="Q212" s="235" t="s">
        <v>275</v>
      </c>
      <c r="S212" s="47" t="s">
        <v>1972</v>
      </c>
      <c r="T212" s="47" t="s">
        <v>1998</v>
      </c>
      <c r="U212" s="48" t="s">
        <v>1674</v>
      </c>
      <c r="V212" s="47" t="s">
        <v>1674</v>
      </c>
      <c r="W212" s="47" t="s">
        <v>1673</v>
      </c>
      <c r="X212" s="47" t="s">
        <v>1778</v>
      </c>
      <c r="Y212" s="496">
        <v>3000</v>
      </c>
      <c r="Z212" s="149" t="s">
        <v>274</v>
      </c>
      <c r="AA212" s="150">
        <v>2250</v>
      </c>
      <c r="AB212" s="35" t="s">
        <v>1943</v>
      </c>
      <c r="AC212" s="238" t="s">
        <v>275</v>
      </c>
    </row>
    <row r="213" spans="2:29" ht="12.75">
      <c r="B213" s="47" t="s">
        <v>1972</v>
      </c>
      <c r="C213" s="47" t="s">
        <v>1998</v>
      </c>
      <c r="D213" s="48" t="s">
        <v>1674</v>
      </c>
      <c r="E213" s="47" t="s">
        <v>1674</v>
      </c>
      <c r="F213" s="47" t="s">
        <v>1673</v>
      </c>
      <c r="G213" s="47" t="s">
        <v>1778</v>
      </c>
      <c r="H213" s="49" t="s">
        <v>2003</v>
      </c>
      <c r="I213" s="47">
        <v>0.85</v>
      </c>
      <c r="J213" s="78">
        <v>0.88647104415673128</v>
      </c>
      <c r="K213" s="80" t="s">
        <v>276</v>
      </c>
      <c r="L213" s="510"/>
      <c r="M213" s="62">
        <v>6.4000000000000001E-2</v>
      </c>
      <c r="N213" s="80" t="s">
        <v>274</v>
      </c>
      <c r="O213" s="513"/>
      <c r="P213" s="47" t="s">
        <v>1944</v>
      </c>
      <c r="Q213" s="236" t="s">
        <v>277</v>
      </c>
      <c r="S213" s="47" t="s">
        <v>1972</v>
      </c>
      <c r="T213" s="47" t="s">
        <v>1998</v>
      </c>
      <c r="U213" s="48" t="s">
        <v>1674</v>
      </c>
      <c r="V213" s="47" t="s">
        <v>1674</v>
      </c>
      <c r="W213" s="47" t="s">
        <v>1673</v>
      </c>
      <c r="X213" s="47" t="s">
        <v>1778</v>
      </c>
      <c r="Y213" s="496"/>
      <c r="Z213" s="151" t="s">
        <v>276</v>
      </c>
      <c r="AA213" s="152">
        <v>2250</v>
      </c>
      <c r="AB213" s="491" t="s">
        <v>1944</v>
      </c>
      <c r="AC213" s="490" t="s">
        <v>277</v>
      </c>
    </row>
    <row r="214" spans="2:29" ht="12.75">
      <c r="B214" s="47" t="s">
        <v>1972</v>
      </c>
      <c r="C214" s="47" t="s">
        <v>1998</v>
      </c>
      <c r="D214" s="48" t="s">
        <v>1674</v>
      </c>
      <c r="E214" s="47" t="s">
        <v>1674</v>
      </c>
      <c r="F214" s="47" t="s">
        <v>1673</v>
      </c>
      <c r="G214" s="47" t="s">
        <v>1778</v>
      </c>
      <c r="H214" s="49">
        <v>9.8200000000000002E-4</v>
      </c>
      <c r="I214" s="47">
        <v>0.85</v>
      </c>
      <c r="J214" s="78">
        <v>0.88647104415673128</v>
      </c>
      <c r="K214" s="80" t="s">
        <v>274</v>
      </c>
      <c r="L214" s="510"/>
      <c r="M214" s="62">
        <v>6.4000000000000001E-2</v>
      </c>
      <c r="N214" s="80" t="s">
        <v>276</v>
      </c>
      <c r="O214" s="513"/>
      <c r="P214" s="47" t="s">
        <v>1944</v>
      </c>
      <c r="Q214" s="236" t="s">
        <v>277</v>
      </c>
      <c r="S214" s="47" t="s">
        <v>1972</v>
      </c>
      <c r="T214" s="47" t="s">
        <v>1998</v>
      </c>
      <c r="U214" s="48" t="s">
        <v>1674</v>
      </c>
      <c r="V214" s="47" t="s">
        <v>1674</v>
      </c>
      <c r="W214" s="47" t="s">
        <v>1673</v>
      </c>
      <c r="X214" s="47" t="s">
        <v>1778</v>
      </c>
      <c r="Y214" s="496"/>
      <c r="Z214" s="153" t="s">
        <v>274</v>
      </c>
      <c r="AA214" s="154">
        <v>3750</v>
      </c>
      <c r="AB214" s="491"/>
      <c r="AC214" s="490"/>
    </row>
    <row r="215" spans="2:29" ht="12.75">
      <c r="B215" s="47" t="s">
        <v>1972</v>
      </c>
      <c r="C215" s="47" t="s">
        <v>1998</v>
      </c>
      <c r="D215" s="48" t="s">
        <v>1674</v>
      </c>
      <c r="E215" s="47" t="s">
        <v>1674</v>
      </c>
      <c r="F215" s="47" t="s">
        <v>1673</v>
      </c>
      <c r="G215" s="47" t="s">
        <v>1778</v>
      </c>
      <c r="H215" s="49">
        <v>9.8200000000000002E-4</v>
      </c>
      <c r="I215" s="47">
        <v>0.85</v>
      </c>
      <c r="J215" s="78">
        <v>0.88647104415673128</v>
      </c>
      <c r="K215" s="80" t="s">
        <v>276</v>
      </c>
      <c r="L215" s="510"/>
      <c r="M215" s="62">
        <v>6.4000000000000001E-2</v>
      </c>
      <c r="N215" s="80" t="s">
        <v>276</v>
      </c>
      <c r="O215" s="513"/>
      <c r="P215" s="47" t="s">
        <v>1945</v>
      </c>
      <c r="Q215" s="237" t="s">
        <v>256</v>
      </c>
      <c r="S215" s="47" t="s">
        <v>1972</v>
      </c>
      <c r="T215" s="47" t="s">
        <v>1998</v>
      </c>
      <c r="U215" s="48" t="s">
        <v>1674</v>
      </c>
      <c r="V215" s="47" t="s">
        <v>1674</v>
      </c>
      <c r="W215" s="47" t="s">
        <v>1673</v>
      </c>
      <c r="X215" s="47" t="s">
        <v>1778</v>
      </c>
      <c r="Y215" s="496"/>
      <c r="Z215" s="149" t="s">
        <v>276</v>
      </c>
      <c r="AA215" s="150">
        <v>3750</v>
      </c>
      <c r="AB215" s="35" t="s">
        <v>1946</v>
      </c>
      <c r="AC215" s="239" t="s">
        <v>256</v>
      </c>
    </row>
    <row r="216" spans="2:29" ht="12.75">
      <c r="B216" s="50" t="s">
        <v>1972</v>
      </c>
      <c r="C216" s="50" t="s">
        <v>1998</v>
      </c>
      <c r="D216" s="51" t="s">
        <v>1674</v>
      </c>
      <c r="E216" s="50" t="s">
        <v>1674</v>
      </c>
      <c r="F216" s="50" t="s">
        <v>1673</v>
      </c>
      <c r="G216" s="50" t="s">
        <v>1781</v>
      </c>
      <c r="H216" s="52" t="s">
        <v>2004</v>
      </c>
      <c r="I216" s="50">
        <v>0.85</v>
      </c>
      <c r="J216" s="78">
        <v>0.74187969635448148</v>
      </c>
      <c r="K216" s="85" t="s">
        <v>274</v>
      </c>
      <c r="L216" s="523">
        <v>1.8305478482016908</v>
      </c>
      <c r="M216" s="62">
        <v>7.2999999999999995E-2</v>
      </c>
      <c r="N216" s="85" t="s">
        <v>274</v>
      </c>
      <c r="O216" s="521" t="s">
        <v>2000</v>
      </c>
      <c r="P216" s="50" t="s">
        <v>1523</v>
      </c>
      <c r="Q216" s="235" t="s">
        <v>275</v>
      </c>
      <c r="S216" s="50" t="s">
        <v>1972</v>
      </c>
      <c r="T216" s="50" t="s">
        <v>1998</v>
      </c>
      <c r="U216" s="51" t="s">
        <v>1674</v>
      </c>
      <c r="V216" s="50" t="s">
        <v>1674</v>
      </c>
      <c r="W216" s="50" t="s">
        <v>1673</v>
      </c>
      <c r="X216" s="50" t="s">
        <v>1781</v>
      </c>
      <c r="Y216" s="502">
        <v>2000</v>
      </c>
      <c r="Z216" s="161" t="s">
        <v>274</v>
      </c>
      <c r="AA216" s="162">
        <v>1500</v>
      </c>
      <c r="AB216" s="50" t="s">
        <v>1943</v>
      </c>
      <c r="AC216" s="238" t="s">
        <v>275</v>
      </c>
    </row>
    <row r="217" spans="2:29" ht="12.75">
      <c r="B217" s="50" t="s">
        <v>1972</v>
      </c>
      <c r="C217" s="50" t="s">
        <v>1998</v>
      </c>
      <c r="D217" s="51" t="s">
        <v>1674</v>
      </c>
      <c r="E217" s="50" t="s">
        <v>1674</v>
      </c>
      <c r="F217" s="50" t="s">
        <v>1673</v>
      </c>
      <c r="G217" s="50" t="s">
        <v>1781</v>
      </c>
      <c r="H217" s="52" t="s">
        <v>2004</v>
      </c>
      <c r="I217" s="50">
        <v>0.85</v>
      </c>
      <c r="J217" s="78">
        <v>0.74187969635448148</v>
      </c>
      <c r="K217" s="85" t="s">
        <v>276</v>
      </c>
      <c r="L217" s="523"/>
      <c r="M217" s="62">
        <v>7.2999999999999995E-2</v>
      </c>
      <c r="N217" s="85" t="s">
        <v>274</v>
      </c>
      <c r="O217" s="521"/>
      <c r="P217" s="50" t="s">
        <v>1944</v>
      </c>
      <c r="Q217" s="236" t="s">
        <v>277</v>
      </c>
      <c r="S217" s="50" t="s">
        <v>1972</v>
      </c>
      <c r="T217" s="50" t="s">
        <v>1998</v>
      </c>
      <c r="U217" s="51" t="s">
        <v>1674</v>
      </c>
      <c r="V217" s="50" t="s">
        <v>1674</v>
      </c>
      <c r="W217" s="50" t="s">
        <v>1673</v>
      </c>
      <c r="X217" s="50" t="s">
        <v>1781</v>
      </c>
      <c r="Y217" s="502"/>
      <c r="Z217" s="163" t="s">
        <v>276</v>
      </c>
      <c r="AA217" s="164">
        <v>1500</v>
      </c>
      <c r="AB217" s="529" t="s">
        <v>1944</v>
      </c>
      <c r="AC217" s="490" t="s">
        <v>277</v>
      </c>
    </row>
    <row r="218" spans="2:29" ht="12.75">
      <c r="B218" s="50" t="s">
        <v>1972</v>
      </c>
      <c r="C218" s="50" t="s">
        <v>1998</v>
      </c>
      <c r="D218" s="51" t="s">
        <v>1674</v>
      </c>
      <c r="E218" s="50" t="s">
        <v>1674</v>
      </c>
      <c r="F218" s="50" t="s">
        <v>1673</v>
      </c>
      <c r="G218" s="50" t="s">
        <v>1781</v>
      </c>
      <c r="H218" s="52">
        <v>1.16E-3</v>
      </c>
      <c r="I218" s="50">
        <v>0.85</v>
      </c>
      <c r="J218" s="78">
        <v>0.74187969635448148</v>
      </c>
      <c r="K218" s="85" t="s">
        <v>274</v>
      </c>
      <c r="L218" s="523"/>
      <c r="M218" s="62">
        <v>7.2999999999999995E-2</v>
      </c>
      <c r="N218" s="85" t="s">
        <v>276</v>
      </c>
      <c r="O218" s="521"/>
      <c r="P218" s="50" t="s">
        <v>1944</v>
      </c>
      <c r="Q218" s="236" t="s">
        <v>277</v>
      </c>
      <c r="S218" s="50" t="s">
        <v>1972</v>
      </c>
      <c r="T218" s="50" t="s">
        <v>1998</v>
      </c>
      <c r="U218" s="51" t="s">
        <v>1674</v>
      </c>
      <c r="V218" s="50" t="s">
        <v>1674</v>
      </c>
      <c r="W218" s="50" t="s">
        <v>1673</v>
      </c>
      <c r="X218" s="50" t="s">
        <v>1781</v>
      </c>
      <c r="Y218" s="502"/>
      <c r="Z218" s="165" t="s">
        <v>274</v>
      </c>
      <c r="AA218" s="166">
        <v>2500</v>
      </c>
      <c r="AB218" s="529"/>
      <c r="AC218" s="490"/>
    </row>
    <row r="219" spans="2:29" ht="12.75">
      <c r="B219" s="50" t="s">
        <v>1972</v>
      </c>
      <c r="C219" s="50" t="s">
        <v>1998</v>
      </c>
      <c r="D219" s="51" t="s">
        <v>1674</v>
      </c>
      <c r="E219" s="50" t="s">
        <v>1674</v>
      </c>
      <c r="F219" s="50" t="s">
        <v>1673</v>
      </c>
      <c r="G219" s="50" t="s">
        <v>1781</v>
      </c>
      <c r="H219" s="52">
        <v>1.16E-3</v>
      </c>
      <c r="I219" s="50">
        <v>0.85</v>
      </c>
      <c r="J219" s="78">
        <v>0.74187969635448148</v>
      </c>
      <c r="K219" s="85" t="s">
        <v>276</v>
      </c>
      <c r="L219" s="523"/>
      <c r="M219" s="62">
        <v>7.2999999999999995E-2</v>
      </c>
      <c r="N219" s="85" t="s">
        <v>276</v>
      </c>
      <c r="O219" s="521"/>
      <c r="P219" s="50" t="s">
        <v>1945</v>
      </c>
      <c r="Q219" s="237" t="s">
        <v>256</v>
      </c>
      <c r="S219" s="50" t="s">
        <v>1972</v>
      </c>
      <c r="T219" s="50" t="s">
        <v>1998</v>
      </c>
      <c r="U219" s="51" t="s">
        <v>1674</v>
      </c>
      <c r="V219" s="50" t="s">
        <v>1674</v>
      </c>
      <c r="W219" s="50" t="s">
        <v>1673</v>
      </c>
      <c r="X219" s="50" t="s">
        <v>1781</v>
      </c>
      <c r="Y219" s="502"/>
      <c r="Z219" s="161" t="s">
        <v>276</v>
      </c>
      <c r="AA219" s="162">
        <v>2500</v>
      </c>
      <c r="AB219" s="50" t="s">
        <v>1946</v>
      </c>
      <c r="AC219" s="239" t="s">
        <v>256</v>
      </c>
    </row>
    <row r="220" spans="2:29" ht="12.75">
      <c r="B220" s="47" t="s">
        <v>1972</v>
      </c>
      <c r="C220" s="47" t="s">
        <v>1998</v>
      </c>
      <c r="D220" s="48" t="s">
        <v>1674</v>
      </c>
      <c r="E220" s="47" t="s">
        <v>1674</v>
      </c>
      <c r="F220" s="47" t="s">
        <v>1673</v>
      </c>
      <c r="G220" s="47" t="s">
        <v>1799</v>
      </c>
      <c r="H220" s="49" t="s">
        <v>1947</v>
      </c>
      <c r="I220" s="47">
        <v>0.85</v>
      </c>
      <c r="J220" s="78">
        <v>1.1217196702428192</v>
      </c>
      <c r="K220" s="80" t="s">
        <v>274</v>
      </c>
      <c r="L220" s="510">
        <v>1.8305478482016908</v>
      </c>
      <c r="M220" s="62">
        <v>7.2999999999999995E-2</v>
      </c>
      <c r="N220" s="80" t="s">
        <v>274</v>
      </c>
      <c r="O220" s="513" t="s">
        <v>2000</v>
      </c>
      <c r="P220" s="47" t="s">
        <v>1523</v>
      </c>
      <c r="Q220" s="235" t="s">
        <v>275</v>
      </c>
      <c r="S220" s="47" t="s">
        <v>1972</v>
      </c>
      <c r="T220" s="47" t="s">
        <v>1998</v>
      </c>
      <c r="U220" s="48" t="s">
        <v>1674</v>
      </c>
      <c r="V220" s="47" t="s">
        <v>1674</v>
      </c>
      <c r="W220" s="47" t="s">
        <v>1673</v>
      </c>
      <c r="X220" s="47" t="s">
        <v>1799</v>
      </c>
      <c r="Y220" s="496">
        <v>3500</v>
      </c>
      <c r="Z220" s="149" t="s">
        <v>274</v>
      </c>
      <c r="AA220" s="150">
        <v>2625</v>
      </c>
      <c r="AB220" s="35" t="s">
        <v>1943</v>
      </c>
      <c r="AC220" s="238" t="s">
        <v>275</v>
      </c>
    </row>
    <row r="221" spans="2:29" ht="12.75">
      <c r="B221" s="47" t="s">
        <v>1972</v>
      </c>
      <c r="C221" s="47" t="s">
        <v>1998</v>
      </c>
      <c r="D221" s="48" t="s">
        <v>1674</v>
      </c>
      <c r="E221" s="47" t="s">
        <v>1674</v>
      </c>
      <c r="F221" s="47" t="s">
        <v>1673</v>
      </c>
      <c r="G221" s="47" t="s">
        <v>1799</v>
      </c>
      <c r="H221" s="49" t="s">
        <v>1947</v>
      </c>
      <c r="I221" s="47">
        <v>0.85</v>
      </c>
      <c r="J221" s="78">
        <v>1.1217196702428192</v>
      </c>
      <c r="K221" s="80" t="s">
        <v>276</v>
      </c>
      <c r="L221" s="510"/>
      <c r="M221" s="62">
        <v>7.2999999999999995E-2</v>
      </c>
      <c r="N221" s="80" t="s">
        <v>274</v>
      </c>
      <c r="O221" s="513"/>
      <c r="P221" s="47" t="s">
        <v>1944</v>
      </c>
      <c r="Q221" s="236" t="s">
        <v>277</v>
      </c>
      <c r="S221" s="47" t="s">
        <v>1972</v>
      </c>
      <c r="T221" s="47" t="s">
        <v>1998</v>
      </c>
      <c r="U221" s="48" t="s">
        <v>1674</v>
      </c>
      <c r="V221" s="47" t="s">
        <v>1674</v>
      </c>
      <c r="W221" s="47" t="s">
        <v>1673</v>
      </c>
      <c r="X221" s="47" t="s">
        <v>1799</v>
      </c>
      <c r="Y221" s="496"/>
      <c r="Z221" s="151" t="s">
        <v>276</v>
      </c>
      <c r="AA221" s="152">
        <v>2625</v>
      </c>
      <c r="AB221" s="491" t="s">
        <v>1944</v>
      </c>
      <c r="AC221" s="490" t="s">
        <v>277</v>
      </c>
    </row>
    <row r="222" spans="2:29" ht="12.75">
      <c r="B222" s="47" t="s">
        <v>1972</v>
      </c>
      <c r="C222" s="47" t="s">
        <v>1998</v>
      </c>
      <c r="D222" s="48" t="s">
        <v>1674</v>
      </c>
      <c r="E222" s="47" t="s">
        <v>1674</v>
      </c>
      <c r="F222" s="47" t="s">
        <v>1673</v>
      </c>
      <c r="G222" s="47" t="s">
        <v>1799</v>
      </c>
      <c r="H222" s="49">
        <v>1.09E-3</v>
      </c>
      <c r="I222" s="47">
        <v>0.85</v>
      </c>
      <c r="J222" s="78">
        <v>1.1217196702428192</v>
      </c>
      <c r="K222" s="80" t="s">
        <v>274</v>
      </c>
      <c r="L222" s="510"/>
      <c r="M222" s="62">
        <v>7.2999999999999995E-2</v>
      </c>
      <c r="N222" s="80" t="s">
        <v>276</v>
      </c>
      <c r="O222" s="513"/>
      <c r="P222" s="47" t="s">
        <v>1944</v>
      </c>
      <c r="Q222" s="236" t="s">
        <v>277</v>
      </c>
      <c r="S222" s="47" t="s">
        <v>1972</v>
      </c>
      <c r="T222" s="47" t="s">
        <v>1998</v>
      </c>
      <c r="U222" s="48" t="s">
        <v>1674</v>
      </c>
      <c r="V222" s="47" t="s">
        <v>1674</v>
      </c>
      <c r="W222" s="47" t="s">
        <v>1673</v>
      </c>
      <c r="X222" s="47" t="s">
        <v>1799</v>
      </c>
      <c r="Y222" s="496"/>
      <c r="Z222" s="153" t="s">
        <v>274</v>
      </c>
      <c r="AA222" s="154">
        <v>4375</v>
      </c>
      <c r="AB222" s="491"/>
      <c r="AC222" s="490"/>
    </row>
    <row r="223" spans="2:29" ht="12.75">
      <c r="B223" s="47" t="s">
        <v>1972</v>
      </c>
      <c r="C223" s="47" t="s">
        <v>1998</v>
      </c>
      <c r="D223" s="48" t="s">
        <v>1674</v>
      </c>
      <c r="E223" s="47" t="s">
        <v>1674</v>
      </c>
      <c r="F223" s="47" t="s">
        <v>1673</v>
      </c>
      <c r="G223" s="47" t="s">
        <v>1799</v>
      </c>
      <c r="H223" s="49">
        <v>1.09E-3</v>
      </c>
      <c r="I223" s="47">
        <v>0.85</v>
      </c>
      <c r="J223" s="78">
        <v>1.1217196702428192</v>
      </c>
      <c r="K223" s="80" t="s">
        <v>276</v>
      </c>
      <c r="L223" s="510"/>
      <c r="M223" s="62">
        <v>7.2999999999999995E-2</v>
      </c>
      <c r="N223" s="80" t="s">
        <v>276</v>
      </c>
      <c r="O223" s="513"/>
      <c r="P223" s="47" t="s">
        <v>1945</v>
      </c>
      <c r="Q223" s="237" t="s">
        <v>256</v>
      </c>
      <c r="S223" s="47" t="s">
        <v>1972</v>
      </c>
      <c r="T223" s="47" t="s">
        <v>1998</v>
      </c>
      <c r="U223" s="48" t="s">
        <v>1674</v>
      </c>
      <c r="V223" s="47" t="s">
        <v>1674</v>
      </c>
      <c r="W223" s="47" t="s">
        <v>1673</v>
      </c>
      <c r="X223" s="47" t="s">
        <v>1799</v>
      </c>
      <c r="Y223" s="496"/>
      <c r="Z223" s="149" t="s">
        <v>276</v>
      </c>
      <c r="AA223" s="150">
        <v>4375</v>
      </c>
      <c r="AB223" s="35" t="s">
        <v>1946</v>
      </c>
      <c r="AC223" s="239" t="s">
        <v>256</v>
      </c>
    </row>
    <row r="224" spans="2:29" ht="12.75">
      <c r="B224" s="50" t="s">
        <v>1972</v>
      </c>
      <c r="C224" s="50" t="s">
        <v>1998</v>
      </c>
      <c r="D224" s="51" t="s">
        <v>1674</v>
      </c>
      <c r="E224" s="50" t="s">
        <v>1673</v>
      </c>
      <c r="F224" s="50" t="s">
        <v>1674</v>
      </c>
      <c r="G224" s="50" t="s">
        <v>1778</v>
      </c>
      <c r="H224" s="52" t="s">
        <v>2005</v>
      </c>
      <c r="I224" s="50">
        <v>0.85</v>
      </c>
      <c r="J224" s="78">
        <v>0.66746662743840135</v>
      </c>
      <c r="K224" s="85" t="s">
        <v>274</v>
      </c>
      <c r="L224" s="523">
        <v>1.8305478482016908</v>
      </c>
      <c r="M224" s="62">
        <v>5.3999999999999999E-2</v>
      </c>
      <c r="N224" s="85" t="s">
        <v>274</v>
      </c>
      <c r="O224" s="521" t="s">
        <v>2000</v>
      </c>
      <c r="P224" s="50" t="s">
        <v>1523</v>
      </c>
      <c r="Q224" s="235" t="s">
        <v>275</v>
      </c>
      <c r="S224" s="50" t="s">
        <v>1972</v>
      </c>
      <c r="T224" s="50" t="s">
        <v>1998</v>
      </c>
      <c r="U224" s="51" t="s">
        <v>1674</v>
      </c>
      <c r="V224" s="50" t="s">
        <v>1673</v>
      </c>
      <c r="W224" s="50" t="s">
        <v>1674</v>
      </c>
      <c r="X224" s="50" t="s">
        <v>1778</v>
      </c>
      <c r="Y224" s="502">
        <v>4000</v>
      </c>
      <c r="Z224" s="161" t="s">
        <v>274</v>
      </c>
      <c r="AA224" s="162">
        <v>3000</v>
      </c>
      <c r="AB224" s="50" t="s">
        <v>1943</v>
      </c>
      <c r="AC224" s="238" t="s">
        <v>275</v>
      </c>
    </row>
    <row r="225" spans="2:29" ht="12.75">
      <c r="B225" s="50" t="s">
        <v>1972</v>
      </c>
      <c r="C225" s="50" t="s">
        <v>1998</v>
      </c>
      <c r="D225" s="51" t="s">
        <v>1674</v>
      </c>
      <c r="E225" s="50" t="s">
        <v>1673</v>
      </c>
      <c r="F225" s="50" t="s">
        <v>1674</v>
      </c>
      <c r="G225" s="50" t="s">
        <v>1778</v>
      </c>
      <c r="H225" s="52" t="s">
        <v>2005</v>
      </c>
      <c r="I225" s="50">
        <v>0.85</v>
      </c>
      <c r="J225" s="78">
        <v>0.66746662743840135</v>
      </c>
      <c r="K225" s="85" t="s">
        <v>276</v>
      </c>
      <c r="L225" s="523"/>
      <c r="M225" s="62">
        <v>5.3999999999999999E-2</v>
      </c>
      <c r="N225" s="85" t="s">
        <v>274</v>
      </c>
      <c r="O225" s="521"/>
      <c r="P225" s="50" t="s">
        <v>1944</v>
      </c>
      <c r="Q225" s="236" t="s">
        <v>277</v>
      </c>
      <c r="S225" s="50" t="s">
        <v>1972</v>
      </c>
      <c r="T225" s="50" t="s">
        <v>1998</v>
      </c>
      <c r="U225" s="51" t="s">
        <v>1674</v>
      </c>
      <c r="V225" s="50" t="s">
        <v>1673</v>
      </c>
      <c r="W225" s="50" t="s">
        <v>1674</v>
      </c>
      <c r="X225" s="50" t="s">
        <v>1778</v>
      </c>
      <c r="Y225" s="502"/>
      <c r="Z225" s="163" t="s">
        <v>276</v>
      </c>
      <c r="AA225" s="164">
        <v>3000</v>
      </c>
      <c r="AB225" s="529" t="s">
        <v>1944</v>
      </c>
      <c r="AC225" s="490" t="s">
        <v>277</v>
      </c>
    </row>
    <row r="226" spans="2:29" ht="12.75">
      <c r="B226" s="50" t="s">
        <v>1972</v>
      </c>
      <c r="C226" s="50" t="s">
        <v>1998</v>
      </c>
      <c r="D226" s="51" t="s">
        <v>1674</v>
      </c>
      <c r="E226" s="50" t="s">
        <v>1673</v>
      </c>
      <c r="F226" s="50" t="s">
        <v>1674</v>
      </c>
      <c r="G226" s="50" t="s">
        <v>1778</v>
      </c>
      <c r="H226" s="52">
        <v>5.7899999999999998E-4</v>
      </c>
      <c r="I226" s="50">
        <v>0.85</v>
      </c>
      <c r="J226" s="78">
        <v>0.66746662743840135</v>
      </c>
      <c r="K226" s="85" t="s">
        <v>274</v>
      </c>
      <c r="L226" s="523"/>
      <c r="M226" s="62">
        <v>5.3999999999999999E-2</v>
      </c>
      <c r="N226" s="85" t="s">
        <v>276</v>
      </c>
      <c r="O226" s="521"/>
      <c r="P226" s="50" t="s">
        <v>1944</v>
      </c>
      <c r="Q226" s="236" t="s">
        <v>277</v>
      </c>
      <c r="S226" s="50" t="s">
        <v>1972</v>
      </c>
      <c r="T226" s="50" t="s">
        <v>1998</v>
      </c>
      <c r="U226" s="51" t="s">
        <v>1674</v>
      </c>
      <c r="V226" s="50" t="s">
        <v>1673</v>
      </c>
      <c r="W226" s="50" t="s">
        <v>1674</v>
      </c>
      <c r="X226" s="50" t="s">
        <v>1778</v>
      </c>
      <c r="Y226" s="502"/>
      <c r="Z226" s="165" t="s">
        <v>274</v>
      </c>
      <c r="AA226" s="166">
        <v>5000</v>
      </c>
      <c r="AB226" s="529"/>
      <c r="AC226" s="490"/>
    </row>
    <row r="227" spans="2:29" ht="12.75">
      <c r="B227" s="50" t="s">
        <v>1972</v>
      </c>
      <c r="C227" s="50" t="s">
        <v>1998</v>
      </c>
      <c r="D227" s="51" t="s">
        <v>1674</v>
      </c>
      <c r="E227" s="50" t="s">
        <v>1673</v>
      </c>
      <c r="F227" s="50" t="s">
        <v>1674</v>
      </c>
      <c r="G227" s="50" t="s">
        <v>1778</v>
      </c>
      <c r="H227" s="52">
        <v>5.7899999999999998E-4</v>
      </c>
      <c r="I227" s="50">
        <v>0.85</v>
      </c>
      <c r="J227" s="78">
        <v>0.66746662743840135</v>
      </c>
      <c r="K227" s="85" t="s">
        <v>276</v>
      </c>
      <c r="L227" s="523"/>
      <c r="M227" s="62">
        <v>5.3999999999999999E-2</v>
      </c>
      <c r="N227" s="85" t="s">
        <v>276</v>
      </c>
      <c r="O227" s="521"/>
      <c r="P227" s="50" t="s">
        <v>1945</v>
      </c>
      <c r="Q227" s="237" t="s">
        <v>256</v>
      </c>
      <c r="S227" s="50" t="s">
        <v>1972</v>
      </c>
      <c r="T227" s="50" t="s">
        <v>1998</v>
      </c>
      <c r="U227" s="51" t="s">
        <v>1674</v>
      </c>
      <c r="V227" s="50" t="s">
        <v>1673</v>
      </c>
      <c r="W227" s="50" t="s">
        <v>1674</v>
      </c>
      <c r="X227" s="50" t="s">
        <v>1778</v>
      </c>
      <c r="Y227" s="502"/>
      <c r="Z227" s="161" t="s">
        <v>276</v>
      </c>
      <c r="AA227" s="162">
        <v>5000</v>
      </c>
      <c r="AB227" s="50" t="s">
        <v>1946</v>
      </c>
      <c r="AC227" s="239" t="s">
        <v>256</v>
      </c>
    </row>
    <row r="228" spans="2:29" ht="12.75">
      <c r="B228" s="47" t="s">
        <v>1972</v>
      </c>
      <c r="C228" s="47" t="s">
        <v>1998</v>
      </c>
      <c r="D228" s="48" t="s">
        <v>1674</v>
      </c>
      <c r="E228" s="47" t="s">
        <v>1673</v>
      </c>
      <c r="F228" s="47" t="s">
        <v>1674</v>
      </c>
      <c r="G228" s="47" t="s">
        <v>1781</v>
      </c>
      <c r="H228" s="49" t="s">
        <v>2006</v>
      </c>
      <c r="I228" s="47">
        <v>0.85</v>
      </c>
      <c r="J228" s="78">
        <v>0.53036288342935056</v>
      </c>
      <c r="K228" s="80" t="s">
        <v>274</v>
      </c>
      <c r="L228" s="510">
        <v>1.8305478482016908</v>
      </c>
      <c r="M228" s="62">
        <v>6.0999999999999999E-2</v>
      </c>
      <c r="N228" s="80" t="s">
        <v>274</v>
      </c>
      <c r="O228" s="513" t="s">
        <v>2000</v>
      </c>
      <c r="P228" s="47" t="s">
        <v>1523</v>
      </c>
      <c r="Q228" s="235" t="s">
        <v>275</v>
      </c>
      <c r="S228" s="35" t="s">
        <v>1972</v>
      </c>
      <c r="T228" s="35" t="s">
        <v>1998</v>
      </c>
      <c r="U228" s="36" t="s">
        <v>1674</v>
      </c>
      <c r="V228" s="35" t="s">
        <v>1673</v>
      </c>
      <c r="W228" s="35" t="s">
        <v>1674</v>
      </c>
      <c r="X228" s="35" t="s">
        <v>1781</v>
      </c>
      <c r="Y228" s="496">
        <v>2500</v>
      </c>
      <c r="Z228" s="149" t="s">
        <v>274</v>
      </c>
      <c r="AA228" s="150">
        <v>1875</v>
      </c>
      <c r="AB228" s="35" t="s">
        <v>1943</v>
      </c>
      <c r="AC228" s="238" t="s">
        <v>275</v>
      </c>
    </row>
    <row r="229" spans="2:29" ht="12.75">
      <c r="B229" s="47" t="s">
        <v>1972</v>
      </c>
      <c r="C229" s="47" t="s">
        <v>1998</v>
      </c>
      <c r="D229" s="48" t="s">
        <v>1674</v>
      </c>
      <c r="E229" s="47" t="s">
        <v>1673</v>
      </c>
      <c r="F229" s="47" t="s">
        <v>1674</v>
      </c>
      <c r="G229" s="47" t="s">
        <v>1781</v>
      </c>
      <c r="H229" s="49" t="s">
        <v>2006</v>
      </c>
      <c r="I229" s="47">
        <v>0.85</v>
      </c>
      <c r="J229" s="78">
        <v>0.53036288342935056</v>
      </c>
      <c r="K229" s="80" t="s">
        <v>276</v>
      </c>
      <c r="L229" s="510"/>
      <c r="M229" s="62">
        <v>6.0999999999999999E-2</v>
      </c>
      <c r="N229" s="80" t="s">
        <v>274</v>
      </c>
      <c r="O229" s="513"/>
      <c r="P229" s="47" t="s">
        <v>1944</v>
      </c>
      <c r="Q229" s="236" t="s">
        <v>277</v>
      </c>
      <c r="S229" s="35" t="s">
        <v>1972</v>
      </c>
      <c r="T229" s="35" t="s">
        <v>1998</v>
      </c>
      <c r="U229" s="36" t="s">
        <v>1674</v>
      </c>
      <c r="V229" s="35" t="s">
        <v>1673</v>
      </c>
      <c r="W229" s="35" t="s">
        <v>1674</v>
      </c>
      <c r="X229" s="35" t="s">
        <v>1781</v>
      </c>
      <c r="Y229" s="496"/>
      <c r="Z229" s="151" t="s">
        <v>276</v>
      </c>
      <c r="AA229" s="152">
        <v>1875</v>
      </c>
      <c r="AB229" s="491" t="s">
        <v>1944</v>
      </c>
      <c r="AC229" s="490" t="s">
        <v>277</v>
      </c>
    </row>
    <row r="230" spans="2:29" ht="12.75">
      <c r="B230" s="47" t="s">
        <v>1972</v>
      </c>
      <c r="C230" s="47" t="s">
        <v>1998</v>
      </c>
      <c r="D230" s="48" t="s">
        <v>1674</v>
      </c>
      <c r="E230" s="47" t="s">
        <v>1673</v>
      </c>
      <c r="F230" s="47" t="s">
        <v>1674</v>
      </c>
      <c r="G230" s="47" t="s">
        <v>1781</v>
      </c>
      <c r="H230" s="49">
        <v>6.8600000000000009E-4</v>
      </c>
      <c r="I230" s="47">
        <v>0.85</v>
      </c>
      <c r="J230" s="78">
        <v>0.53036288342935056</v>
      </c>
      <c r="K230" s="80" t="s">
        <v>274</v>
      </c>
      <c r="L230" s="510"/>
      <c r="M230" s="62">
        <v>6.0999999999999999E-2</v>
      </c>
      <c r="N230" s="80" t="s">
        <v>276</v>
      </c>
      <c r="O230" s="513"/>
      <c r="P230" s="47" t="s">
        <v>1944</v>
      </c>
      <c r="Q230" s="236" t="s">
        <v>277</v>
      </c>
      <c r="S230" s="35" t="s">
        <v>1972</v>
      </c>
      <c r="T230" s="35" t="s">
        <v>1998</v>
      </c>
      <c r="U230" s="36" t="s">
        <v>1674</v>
      </c>
      <c r="V230" s="35" t="s">
        <v>1673</v>
      </c>
      <c r="W230" s="35" t="s">
        <v>1674</v>
      </c>
      <c r="X230" s="35" t="s">
        <v>1781</v>
      </c>
      <c r="Y230" s="496"/>
      <c r="Z230" s="153" t="s">
        <v>274</v>
      </c>
      <c r="AA230" s="154">
        <v>3125</v>
      </c>
      <c r="AB230" s="491"/>
      <c r="AC230" s="490"/>
    </row>
    <row r="231" spans="2:29" ht="12.75">
      <c r="B231" s="47" t="s">
        <v>1972</v>
      </c>
      <c r="C231" s="47" t="s">
        <v>1998</v>
      </c>
      <c r="D231" s="48" t="s">
        <v>1674</v>
      </c>
      <c r="E231" s="47" t="s">
        <v>1673</v>
      </c>
      <c r="F231" s="47" t="s">
        <v>1674</v>
      </c>
      <c r="G231" s="47" t="s">
        <v>1781</v>
      </c>
      <c r="H231" s="49">
        <v>6.8600000000000009E-4</v>
      </c>
      <c r="I231" s="47">
        <v>0.85</v>
      </c>
      <c r="J231" s="78">
        <v>0.53036288342935056</v>
      </c>
      <c r="K231" s="80" t="s">
        <v>276</v>
      </c>
      <c r="L231" s="510"/>
      <c r="M231" s="62">
        <v>6.0999999999999999E-2</v>
      </c>
      <c r="N231" s="80" t="s">
        <v>276</v>
      </c>
      <c r="O231" s="513"/>
      <c r="P231" s="47" t="s">
        <v>1945</v>
      </c>
      <c r="Q231" s="237" t="s">
        <v>256</v>
      </c>
      <c r="S231" s="35" t="s">
        <v>1972</v>
      </c>
      <c r="T231" s="35" t="s">
        <v>1998</v>
      </c>
      <c r="U231" s="36" t="s">
        <v>1674</v>
      </c>
      <c r="V231" s="35" t="s">
        <v>1673</v>
      </c>
      <c r="W231" s="35" t="s">
        <v>1674</v>
      </c>
      <c r="X231" s="35" t="s">
        <v>1781</v>
      </c>
      <c r="Y231" s="496"/>
      <c r="Z231" s="149" t="s">
        <v>276</v>
      </c>
      <c r="AA231" s="150">
        <v>3125</v>
      </c>
      <c r="AB231" s="35" t="s">
        <v>1946</v>
      </c>
      <c r="AC231" s="239" t="s">
        <v>256</v>
      </c>
    </row>
    <row r="232" spans="2:29" ht="12.75">
      <c r="B232" s="50" t="s">
        <v>1972</v>
      </c>
      <c r="C232" s="50" t="s">
        <v>1998</v>
      </c>
      <c r="D232" s="51" t="s">
        <v>1674</v>
      </c>
      <c r="E232" s="50" t="s">
        <v>1673</v>
      </c>
      <c r="F232" s="50" t="s">
        <v>1674</v>
      </c>
      <c r="G232" s="50" t="s">
        <v>1799</v>
      </c>
      <c r="H232" s="52" t="s">
        <v>1989</v>
      </c>
      <c r="I232" s="50">
        <v>0.85</v>
      </c>
      <c r="J232" s="78">
        <v>0.81674910308811566</v>
      </c>
      <c r="K232" s="85" t="s">
        <v>274</v>
      </c>
      <c r="L232" s="523">
        <v>1.8305478482016908</v>
      </c>
      <c r="M232" s="62">
        <v>6.0999999999999999E-2</v>
      </c>
      <c r="N232" s="85" t="s">
        <v>274</v>
      </c>
      <c r="O232" s="521" t="s">
        <v>2000</v>
      </c>
      <c r="P232" s="50" t="s">
        <v>1523</v>
      </c>
      <c r="Q232" s="235" t="s">
        <v>275</v>
      </c>
      <c r="S232" s="50" t="s">
        <v>1972</v>
      </c>
      <c r="T232" s="50" t="s">
        <v>1998</v>
      </c>
      <c r="U232" s="51" t="s">
        <v>1674</v>
      </c>
      <c r="V232" s="50" t="s">
        <v>1673</v>
      </c>
      <c r="W232" s="50" t="s">
        <v>1674</v>
      </c>
      <c r="X232" s="50" t="s">
        <v>1799</v>
      </c>
      <c r="Y232" s="502">
        <v>4500</v>
      </c>
      <c r="Z232" s="161" t="s">
        <v>274</v>
      </c>
      <c r="AA232" s="162">
        <v>3375</v>
      </c>
      <c r="AB232" s="50" t="s">
        <v>1943</v>
      </c>
      <c r="AC232" s="238" t="s">
        <v>275</v>
      </c>
    </row>
    <row r="233" spans="2:29" ht="12.75">
      <c r="B233" s="50" t="s">
        <v>1972</v>
      </c>
      <c r="C233" s="50" t="s">
        <v>1998</v>
      </c>
      <c r="D233" s="51" t="s">
        <v>1674</v>
      </c>
      <c r="E233" s="50" t="s">
        <v>1673</v>
      </c>
      <c r="F233" s="50" t="s">
        <v>1674</v>
      </c>
      <c r="G233" s="50" t="s">
        <v>1799</v>
      </c>
      <c r="H233" s="52" t="s">
        <v>1989</v>
      </c>
      <c r="I233" s="50">
        <v>0.85</v>
      </c>
      <c r="J233" s="78">
        <v>0.81674910308811566</v>
      </c>
      <c r="K233" s="85" t="s">
        <v>276</v>
      </c>
      <c r="L233" s="523"/>
      <c r="M233" s="62">
        <v>6.0999999999999999E-2</v>
      </c>
      <c r="N233" s="85" t="s">
        <v>274</v>
      </c>
      <c r="O233" s="521"/>
      <c r="P233" s="50" t="s">
        <v>1944</v>
      </c>
      <c r="Q233" s="236" t="s">
        <v>277</v>
      </c>
      <c r="S233" s="50" t="s">
        <v>1972</v>
      </c>
      <c r="T233" s="50" t="s">
        <v>1998</v>
      </c>
      <c r="U233" s="51" t="s">
        <v>1674</v>
      </c>
      <c r="V233" s="50" t="s">
        <v>1673</v>
      </c>
      <c r="W233" s="50" t="s">
        <v>1674</v>
      </c>
      <c r="X233" s="50" t="s">
        <v>1799</v>
      </c>
      <c r="Y233" s="502"/>
      <c r="Z233" s="163" t="s">
        <v>276</v>
      </c>
      <c r="AA233" s="164">
        <v>3375</v>
      </c>
      <c r="AB233" s="529" t="s">
        <v>1944</v>
      </c>
      <c r="AC233" s="490" t="s">
        <v>277</v>
      </c>
    </row>
    <row r="234" spans="2:29" ht="12.75">
      <c r="B234" s="50" t="s">
        <v>1972</v>
      </c>
      <c r="C234" s="50" t="s">
        <v>1998</v>
      </c>
      <c r="D234" s="51" t="s">
        <v>1674</v>
      </c>
      <c r="E234" s="50" t="s">
        <v>1673</v>
      </c>
      <c r="F234" s="50" t="s">
        <v>1674</v>
      </c>
      <c r="G234" s="50" t="s">
        <v>1799</v>
      </c>
      <c r="H234" s="52">
        <v>6.4100000000000008E-4</v>
      </c>
      <c r="I234" s="50">
        <v>0.85</v>
      </c>
      <c r="J234" s="78">
        <v>0.81674910308811566</v>
      </c>
      <c r="K234" s="85" t="s">
        <v>274</v>
      </c>
      <c r="L234" s="523"/>
      <c r="M234" s="62">
        <v>6.0999999999999999E-2</v>
      </c>
      <c r="N234" s="85" t="s">
        <v>276</v>
      </c>
      <c r="O234" s="521"/>
      <c r="P234" s="50" t="s">
        <v>1944</v>
      </c>
      <c r="Q234" s="236" t="s">
        <v>277</v>
      </c>
      <c r="S234" s="50" t="s">
        <v>1972</v>
      </c>
      <c r="T234" s="50" t="s">
        <v>1998</v>
      </c>
      <c r="U234" s="51" t="s">
        <v>1674</v>
      </c>
      <c r="V234" s="50" t="s">
        <v>1673</v>
      </c>
      <c r="W234" s="50" t="s">
        <v>1674</v>
      </c>
      <c r="X234" s="50" t="s">
        <v>1799</v>
      </c>
      <c r="Y234" s="502"/>
      <c r="Z234" s="165" t="s">
        <v>274</v>
      </c>
      <c r="AA234" s="166">
        <v>5625</v>
      </c>
      <c r="AB234" s="529"/>
      <c r="AC234" s="490"/>
    </row>
    <row r="235" spans="2:29" ht="12.75">
      <c r="B235" s="50" t="s">
        <v>1972</v>
      </c>
      <c r="C235" s="50" t="s">
        <v>1998</v>
      </c>
      <c r="D235" s="51" t="s">
        <v>1674</v>
      </c>
      <c r="E235" s="50" t="s">
        <v>1673</v>
      </c>
      <c r="F235" s="50" t="s">
        <v>1674</v>
      </c>
      <c r="G235" s="50" t="s">
        <v>1799</v>
      </c>
      <c r="H235" s="52">
        <v>6.4100000000000008E-4</v>
      </c>
      <c r="I235" s="50">
        <v>0.85</v>
      </c>
      <c r="J235" s="78">
        <v>0.81674910308811566</v>
      </c>
      <c r="K235" s="85" t="s">
        <v>276</v>
      </c>
      <c r="L235" s="523"/>
      <c r="M235" s="62">
        <v>6.0999999999999999E-2</v>
      </c>
      <c r="N235" s="85" t="s">
        <v>276</v>
      </c>
      <c r="O235" s="521"/>
      <c r="P235" s="50" t="s">
        <v>1945</v>
      </c>
      <c r="Q235" s="237" t="s">
        <v>256</v>
      </c>
      <c r="S235" s="50" t="s">
        <v>1972</v>
      </c>
      <c r="T235" s="50" t="s">
        <v>1998</v>
      </c>
      <c r="U235" s="51" t="s">
        <v>1674</v>
      </c>
      <c r="V235" s="50" t="s">
        <v>1673</v>
      </c>
      <c r="W235" s="50" t="s">
        <v>1674</v>
      </c>
      <c r="X235" s="50" t="s">
        <v>1799</v>
      </c>
      <c r="Y235" s="502"/>
      <c r="Z235" s="161" t="s">
        <v>276</v>
      </c>
      <c r="AA235" s="162">
        <v>5625</v>
      </c>
      <c r="AB235" s="50" t="s">
        <v>1946</v>
      </c>
      <c r="AC235" s="239" t="s">
        <v>256</v>
      </c>
    </row>
    <row r="236" spans="2:29" ht="12.75">
      <c r="B236" s="47" t="s">
        <v>1972</v>
      </c>
      <c r="C236" s="47" t="s">
        <v>1998</v>
      </c>
      <c r="D236" s="48" t="s">
        <v>1674</v>
      </c>
      <c r="E236" s="47" t="s">
        <v>1673</v>
      </c>
      <c r="F236" s="47" t="s">
        <v>1673</v>
      </c>
      <c r="G236" s="47" t="s">
        <v>1778</v>
      </c>
      <c r="H236" s="49" t="s">
        <v>2007</v>
      </c>
      <c r="I236" s="47">
        <v>0.85</v>
      </c>
      <c r="J236" s="78">
        <v>0.44613054372825794</v>
      </c>
      <c r="K236" s="80" t="s">
        <v>274</v>
      </c>
      <c r="L236" s="510">
        <v>1.8305478482016908</v>
      </c>
      <c r="M236" s="62">
        <v>5.3999999999999999E-2</v>
      </c>
      <c r="N236" s="80" t="s">
        <v>274</v>
      </c>
      <c r="O236" s="513" t="s">
        <v>2000</v>
      </c>
      <c r="P236" s="47" t="s">
        <v>1523</v>
      </c>
      <c r="Q236" s="235" t="s">
        <v>275</v>
      </c>
      <c r="S236" s="35" t="s">
        <v>1972</v>
      </c>
      <c r="T236" s="35" t="s">
        <v>1998</v>
      </c>
      <c r="U236" s="36" t="s">
        <v>1674</v>
      </c>
      <c r="V236" s="35" t="s">
        <v>1673</v>
      </c>
      <c r="W236" s="35" t="s">
        <v>1673</v>
      </c>
      <c r="X236" s="35" t="s">
        <v>1778</v>
      </c>
      <c r="Y236" s="496">
        <v>4000</v>
      </c>
      <c r="Z236" s="149" t="s">
        <v>274</v>
      </c>
      <c r="AA236" s="150">
        <v>3000</v>
      </c>
      <c r="AB236" s="35" t="s">
        <v>1943</v>
      </c>
      <c r="AC236" s="238" t="s">
        <v>275</v>
      </c>
    </row>
    <row r="237" spans="2:29" ht="12.75">
      <c r="B237" s="47" t="s">
        <v>1972</v>
      </c>
      <c r="C237" s="47" t="s">
        <v>1998</v>
      </c>
      <c r="D237" s="48" t="s">
        <v>1674</v>
      </c>
      <c r="E237" s="47" t="s">
        <v>1673</v>
      </c>
      <c r="F237" s="47" t="s">
        <v>1673</v>
      </c>
      <c r="G237" s="47" t="s">
        <v>1778</v>
      </c>
      <c r="H237" s="49" t="s">
        <v>2007</v>
      </c>
      <c r="I237" s="47">
        <v>0.85</v>
      </c>
      <c r="J237" s="78">
        <v>0.44613054372825794</v>
      </c>
      <c r="K237" s="80" t="s">
        <v>276</v>
      </c>
      <c r="L237" s="510"/>
      <c r="M237" s="62">
        <v>5.3999999999999999E-2</v>
      </c>
      <c r="N237" s="80" t="s">
        <v>274</v>
      </c>
      <c r="O237" s="513"/>
      <c r="P237" s="47" t="s">
        <v>1944</v>
      </c>
      <c r="Q237" s="236" t="s">
        <v>277</v>
      </c>
      <c r="S237" s="35" t="s">
        <v>1972</v>
      </c>
      <c r="T237" s="35" t="s">
        <v>1998</v>
      </c>
      <c r="U237" s="36" t="s">
        <v>1674</v>
      </c>
      <c r="V237" s="35" t="s">
        <v>1673</v>
      </c>
      <c r="W237" s="35" t="s">
        <v>1673</v>
      </c>
      <c r="X237" s="35" t="s">
        <v>1778</v>
      </c>
      <c r="Y237" s="496"/>
      <c r="Z237" s="151" t="s">
        <v>276</v>
      </c>
      <c r="AA237" s="152">
        <v>3000</v>
      </c>
      <c r="AB237" s="491" t="s">
        <v>1944</v>
      </c>
      <c r="AC237" s="490" t="s">
        <v>277</v>
      </c>
    </row>
    <row r="238" spans="2:29" ht="12.75">
      <c r="B238" s="47" t="s">
        <v>1972</v>
      </c>
      <c r="C238" s="47" t="s">
        <v>1998</v>
      </c>
      <c r="D238" s="48" t="s">
        <v>1674</v>
      </c>
      <c r="E238" s="47" t="s">
        <v>1673</v>
      </c>
      <c r="F238" s="47" t="s">
        <v>1673</v>
      </c>
      <c r="G238" s="47" t="s">
        <v>1778</v>
      </c>
      <c r="H238" s="49">
        <v>3.8700000000000003E-4</v>
      </c>
      <c r="I238" s="47">
        <v>0.85</v>
      </c>
      <c r="J238" s="78">
        <v>0.44613054372825794</v>
      </c>
      <c r="K238" s="80" t="s">
        <v>274</v>
      </c>
      <c r="L238" s="510"/>
      <c r="M238" s="62">
        <v>5.3999999999999999E-2</v>
      </c>
      <c r="N238" s="80" t="s">
        <v>276</v>
      </c>
      <c r="O238" s="513"/>
      <c r="P238" s="47" t="s">
        <v>1944</v>
      </c>
      <c r="Q238" s="236" t="s">
        <v>277</v>
      </c>
      <c r="S238" s="35" t="s">
        <v>1972</v>
      </c>
      <c r="T238" s="35" t="s">
        <v>1998</v>
      </c>
      <c r="U238" s="36" t="s">
        <v>1674</v>
      </c>
      <c r="V238" s="35" t="s">
        <v>1673</v>
      </c>
      <c r="W238" s="35" t="s">
        <v>1673</v>
      </c>
      <c r="X238" s="35" t="s">
        <v>1778</v>
      </c>
      <c r="Y238" s="496"/>
      <c r="Z238" s="153" t="s">
        <v>274</v>
      </c>
      <c r="AA238" s="154">
        <v>5000</v>
      </c>
      <c r="AB238" s="491"/>
      <c r="AC238" s="490"/>
    </row>
    <row r="239" spans="2:29" ht="12.75">
      <c r="B239" s="47" t="s">
        <v>1972</v>
      </c>
      <c r="C239" s="47" t="s">
        <v>1998</v>
      </c>
      <c r="D239" s="48" t="s">
        <v>1674</v>
      </c>
      <c r="E239" s="47" t="s">
        <v>1673</v>
      </c>
      <c r="F239" s="47" t="s">
        <v>1673</v>
      </c>
      <c r="G239" s="47" t="s">
        <v>1778</v>
      </c>
      <c r="H239" s="49">
        <v>3.8700000000000003E-4</v>
      </c>
      <c r="I239" s="47">
        <v>0.85</v>
      </c>
      <c r="J239" s="78">
        <v>0.44613054372825794</v>
      </c>
      <c r="K239" s="80" t="s">
        <v>276</v>
      </c>
      <c r="L239" s="510"/>
      <c r="M239" s="62">
        <v>5.3999999999999999E-2</v>
      </c>
      <c r="N239" s="80" t="s">
        <v>276</v>
      </c>
      <c r="O239" s="513"/>
      <c r="P239" s="47" t="s">
        <v>1945</v>
      </c>
      <c r="Q239" s="237" t="s">
        <v>256</v>
      </c>
      <c r="S239" s="35" t="s">
        <v>1972</v>
      </c>
      <c r="T239" s="35" t="s">
        <v>1998</v>
      </c>
      <c r="U239" s="36" t="s">
        <v>1674</v>
      </c>
      <c r="V239" s="35" t="s">
        <v>1673</v>
      </c>
      <c r="W239" s="35" t="s">
        <v>1673</v>
      </c>
      <c r="X239" s="35" t="s">
        <v>1778</v>
      </c>
      <c r="Y239" s="496"/>
      <c r="Z239" s="149" t="s">
        <v>276</v>
      </c>
      <c r="AA239" s="150">
        <v>5000</v>
      </c>
      <c r="AB239" s="35" t="s">
        <v>1946</v>
      </c>
      <c r="AC239" s="239" t="s">
        <v>256</v>
      </c>
    </row>
    <row r="240" spans="2:29" ht="12.75">
      <c r="B240" s="50" t="s">
        <v>1972</v>
      </c>
      <c r="C240" s="50" t="s">
        <v>1998</v>
      </c>
      <c r="D240" s="51" t="s">
        <v>1674</v>
      </c>
      <c r="E240" s="50" t="s">
        <v>1673</v>
      </c>
      <c r="F240" s="50" t="s">
        <v>1673</v>
      </c>
      <c r="G240" s="50" t="s">
        <v>1781</v>
      </c>
      <c r="H240" s="52" t="s">
        <v>2008</v>
      </c>
      <c r="I240" s="50">
        <v>0.85</v>
      </c>
      <c r="J240" s="78">
        <v>0.35486379518086275</v>
      </c>
      <c r="K240" s="85" t="s">
        <v>274</v>
      </c>
      <c r="L240" s="523">
        <v>1.8305478482016908</v>
      </c>
      <c r="M240" s="62">
        <v>6.0999999999999999E-2</v>
      </c>
      <c r="N240" s="85" t="s">
        <v>274</v>
      </c>
      <c r="O240" s="521" t="s">
        <v>2000</v>
      </c>
      <c r="P240" s="50" t="s">
        <v>1523</v>
      </c>
      <c r="Q240" s="235" t="s">
        <v>275</v>
      </c>
      <c r="S240" s="50" t="s">
        <v>1972</v>
      </c>
      <c r="T240" s="50" t="s">
        <v>1998</v>
      </c>
      <c r="U240" s="51" t="s">
        <v>1674</v>
      </c>
      <c r="V240" s="50" t="s">
        <v>1673</v>
      </c>
      <c r="W240" s="50" t="s">
        <v>1673</v>
      </c>
      <c r="X240" s="50" t="s">
        <v>1781</v>
      </c>
      <c r="Y240" s="502">
        <v>2500</v>
      </c>
      <c r="Z240" s="161" t="s">
        <v>274</v>
      </c>
      <c r="AA240" s="162">
        <v>1875</v>
      </c>
      <c r="AB240" s="50" t="s">
        <v>1943</v>
      </c>
      <c r="AC240" s="238" t="s">
        <v>275</v>
      </c>
    </row>
    <row r="241" spans="2:29" ht="12.75">
      <c r="B241" s="50" t="s">
        <v>1972</v>
      </c>
      <c r="C241" s="50" t="s">
        <v>1998</v>
      </c>
      <c r="D241" s="51" t="s">
        <v>1674</v>
      </c>
      <c r="E241" s="50" t="s">
        <v>1673</v>
      </c>
      <c r="F241" s="50" t="s">
        <v>1673</v>
      </c>
      <c r="G241" s="50" t="s">
        <v>1781</v>
      </c>
      <c r="H241" s="52" t="s">
        <v>2008</v>
      </c>
      <c r="I241" s="50">
        <v>0.85</v>
      </c>
      <c r="J241" s="78">
        <v>0.35486379518086275</v>
      </c>
      <c r="K241" s="85" t="s">
        <v>276</v>
      </c>
      <c r="L241" s="523"/>
      <c r="M241" s="62">
        <v>6.0999999999999999E-2</v>
      </c>
      <c r="N241" s="85" t="s">
        <v>274</v>
      </c>
      <c r="O241" s="521"/>
      <c r="P241" s="50" t="s">
        <v>1944</v>
      </c>
      <c r="Q241" s="236" t="s">
        <v>277</v>
      </c>
      <c r="S241" s="50" t="s">
        <v>1972</v>
      </c>
      <c r="T241" s="50" t="s">
        <v>1998</v>
      </c>
      <c r="U241" s="51" t="s">
        <v>1674</v>
      </c>
      <c r="V241" s="50" t="s">
        <v>1673</v>
      </c>
      <c r="W241" s="50" t="s">
        <v>1673</v>
      </c>
      <c r="X241" s="50" t="s">
        <v>1781</v>
      </c>
      <c r="Y241" s="502"/>
      <c r="Z241" s="163" t="s">
        <v>276</v>
      </c>
      <c r="AA241" s="164">
        <v>1875</v>
      </c>
      <c r="AB241" s="529" t="s">
        <v>1944</v>
      </c>
      <c r="AC241" s="490" t="s">
        <v>277</v>
      </c>
    </row>
    <row r="242" spans="2:29" ht="12.75">
      <c r="B242" s="50" t="s">
        <v>1972</v>
      </c>
      <c r="C242" s="50" t="s">
        <v>1998</v>
      </c>
      <c r="D242" s="51" t="s">
        <v>1674</v>
      </c>
      <c r="E242" s="50" t="s">
        <v>1673</v>
      </c>
      <c r="F242" s="50" t="s">
        <v>1673</v>
      </c>
      <c r="G242" s="50" t="s">
        <v>1781</v>
      </c>
      <c r="H242" s="52">
        <v>4.5899999999999999E-4</v>
      </c>
      <c r="I242" s="50">
        <v>0.85</v>
      </c>
      <c r="J242" s="78">
        <v>0.35486379518086275</v>
      </c>
      <c r="K242" s="85" t="s">
        <v>274</v>
      </c>
      <c r="L242" s="523"/>
      <c r="M242" s="62">
        <v>6.0999999999999999E-2</v>
      </c>
      <c r="N242" s="85" t="s">
        <v>276</v>
      </c>
      <c r="O242" s="521"/>
      <c r="P242" s="50" t="s">
        <v>1944</v>
      </c>
      <c r="Q242" s="236" t="s">
        <v>277</v>
      </c>
      <c r="S242" s="50" t="s">
        <v>1972</v>
      </c>
      <c r="T242" s="50" t="s">
        <v>1998</v>
      </c>
      <c r="U242" s="51" t="s">
        <v>1674</v>
      </c>
      <c r="V242" s="50" t="s">
        <v>1673</v>
      </c>
      <c r="W242" s="50" t="s">
        <v>1673</v>
      </c>
      <c r="X242" s="50" t="s">
        <v>1781</v>
      </c>
      <c r="Y242" s="502"/>
      <c r="Z242" s="165" t="s">
        <v>274</v>
      </c>
      <c r="AA242" s="166">
        <v>3125</v>
      </c>
      <c r="AB242" s="529"/>
      <c r="AC242" s="490"/>
    </row>
    <row r="243" spans="2:29" ht="12.75">
      <c r="B243" s="50" t="s">
        <v>1972</v>
      </c>
      <c r="C243" s="50" t="s">
        <v>1998</v>
      </c>
      <c r="D243" s="51" t="s">
        <v>1674</v>
      </c>
      <c r="E243" s="50" t="s">
        <v>1673</v>
      </c>
      <c r="F243" s="50" t="s">
        <v>1673</v>
      </c>
      <c r="G243" s="50" t="s">
        <v>1781</v>
      </c>
      <c r="H243" s="52">
        <v>4.5899999999999999E-4</v>
      </c>
      <c r="I243" s="50">
        <v>0.85</v>
      </c>
      <c r="J243" s="78">
        <v>0.35486379518086275</v>
      </c>
      <c r="K243" s="85" t="s">
        <v>276</v>
      </c>
      <c r="L243" s="523"/>
      <c r="M243" s="62">
        <v>6.0999999999999999E-2</v>
      </c>
      <c r="N243" s="85" t="s">
        <v>276</v>
      </c>
      <c r="O243" s="521"/>
      <c r="P243" s="50" t="s">
        <v>1945</v>
      </c>
      <c r="Q243" s="237" t="s">
        <v>256</v>
      </c>
      <c r="S243" s="50" t="s">
        <v>1972</v>
      </c>
      <c r="T243" s="50" t="s">
        <v>1998</v>
      </c>
      <c r="U243" s="51" t="s">
        <v>1674</v>
      </c>
      <c r="V243" s="50" t="s">
        <v>1673</v>
      </c>
      <c r="W243" s="50" t="s">
        <v>1673</v>
      </c>
      <c r="X243" s="50" t="s">
        <v>1781</v>
      </c>
      <c r="Y243" s="502"/>
      <c r="Z243" s="161" t="s">
        <v>276</v>
      </c>
      <c r="AA243" s="162">
        <v>3125</v>
      </c>
      <c r="AB243" s="50" t="s">
        <v>1946</v>
      </c>
      <c r="AC243" s="239" t="s">
        <v>256</v>
      </c>
    </row>
    <row r="244" spans="2:29" ht="12.75">
      <c r="B244" s="47" t="s">
        <v>1972</v>
      </c>
      <c r="C244" s="47" t="s">
        <v>1998</v>
      </c>
      <c r="D244" s="48" t="s">
        <v>1674</v>
      </c>
      <c r="E244" s="47" t="s">
        <v>1673</v>
      </c>
      <c r="F244" s="47" t="s">
        <v>1673</v>
      </c>
      <c r="G244" s="47" t="s">
        <v>1799</v>
      </c>
      <c r="H244" s="49" t="s">
        <v>2009</v>
      </c>
      <c r="I244" s="47">
        <v>0.85</v>
      </c>
      <c r="J244" s="78">
        <v>0.5466230346720774</v>
      </c>
      <c r="K244" s="80" t="s">
        <v>274</v>
      </c>
      <c r="L244" s="510">
        <v>1.8305478482016908</v>
      </c>
      <c r="M244" s="62">
        <v>6.0999999999999999E-2</v>
      </c>
      <c r="N244" s="80" t="s">
        <v>274</v>
      </c>
      <c r="O244" s="513" t="s">
        <v>2000</v>
      </c>
      <c r="P244" s="47" t="s">
        <v>1523</v>
      </c>
      <c r="Q244" s="235" t="s">
        <v>275</v>
      </c>
      <c r="S244" s="35" t="s">
        <v>1972</v>
      </c>
      <c r="T244" s="35" t="s">
        <v>1998</v>
      </c>
      <c r="U244" s="36" t="s">
        <v>1674</v>
      </c>
      <c r="V244" s="35" t="s">
        <v>1673</v>
      </c>
      <c r="W244" s="35" t="s">
        <v>1673</v>
      </c>
      <c r="X244" s="35" t="s">
        <v>1799</v>
      </c>
      <c r="Y244" s="496">
        <v>4500</v>
      </c>
      <c r="Z244" s="149" t="s">
        <v>274</v>
      </c>
      <c r="AA244" s="150">
        <v>3375</v>
      </c>
      <c r="AB244" s="35" t="s">
        <v>1943</v>
      </c>
      <c r="AC244" s="238" t="s">
        <v>275</v>
      </c>
    </row>
    <row r="245" spans="2:29" ht="12.75">
      <c r="B245" s="47" t="s">
        <v>1972</v>
      </c>
      <c r="C245" s="47" t="s">
        <v>1998</v>
      </c>
      <c r="D245" s="48" t="s">
        <v>1674</v>
      </c>
      <c r="E245" s="47" t="s">
        <v>1673</v>
      </c>
      <c r="F245" s="47" t="s">
        <v>1673</v>
      </c>
      <c r="G245" s="47" t="s">
        <v>1799</v>
      </c>
      <c r="H245" s="49" t="s">
        <v>2009</v>
      </c>
      <c r="I245" s="47">
        <v>0.85</v>
      </c>
      <c r="J245" s="78">
        <v>0.5466230346720774</v>
      </c>
      <c r="K245" s="80" t="s">
        <v>276</v>
      </c>
      <c r="L245" s="510"/>
      <c r="M245" s="62">
        <v>6.0999999999999999E-2</v>
      </c>
      <c r="N245" s="80" t="s">
        <v>274</v>
      </c>
      <c r="O245" s="513"/>
      <c r="P245" s="47" t="s">
        <v>1944</v>
      </c>
      <c r="Q245" s="236" t="s">
        <v>277</v>
      </c>
      <c r="S245" s="35" t="s">
        <v>1972</v>
      </c>
      <c r="T245" s="35" t="s">
        <v>1998</v>
      </c>
      <c r="U245" s="36" t="s">
        <v>1674</v>
      </c>
      <c r="V245" s="35" t="s">
        <v>1673</v>
      </c>
      <c r="W245" s="35" t="s">
        <v>1673</v>
      </c>
      <c r="X245" s="35" t="s">
        <v>1799</v>
      </c>
      <c r="Y245" s="496"/>
      <c r="Z245" s="151" t="s">
        <v>276</v>
      </c>
      <c r="AA245" s="152">
        <v>3375</v>
      </c>
      <c r="AB245" s="491" t="s">
        <v>1944</v>
      </c>
      <c r="AC245" s="490" t="s">
        <v>277</v>
      </c>
    </row>
    <row r="246" spans="2:29" ht="12.75">
      <c r="B246" s="47" t="s">
        <v>1972</v>
      </c>
      <c r="C246" s="47" t="s">
        <v>1998</v>
      </c>
      <c r="D246" s="48" t="s">
        <v>1674</v>
      </c>
      <c r="E246" s="47" t="s">
        <v>1673</v>
      </c>
      <c r="F246" s="47" t="s">
        <v>1673</v>
      </c>
      <c r="G246" s="47" t="s">
        <v>1799</v>
      </c>
      <c r="H246" s="49">
        <v>4.2900000000000002E-4</v>
      </c>
      <c r="I246" s="47">
        <v>0.85</v>
      </c>
      <c r="J246" s="78">
        <v>0.5466230346720774</v>
      </c>
      <c r="K246" s="80" t="s">
        <v>274</v>
      </c>
      <c r="L246" s="510"/>
      <c r="M246" s="62">
        <v>6.0999999999999999E-2</v>
      </c>
      <c r="N246" s="80" t="s">
        <v>276</v>
      </c>
      <c r="O246" s="513"/>
      <c r="P246" s="47" t="s">
        <v>1944</v>
      </c>
      <c r="Q246" s="236" t="s">
        <v>277</v>
      </c>
      <c r="S246" s="35" t="s">
        <v>1972</v>
      </c>
      <c r="T246" s="35" t="s">
        <v>1998</v>
      </c>
      <c r="U246" s="36" t="s">
        <v>1674</v>
      </c>
      <c r="V246" s="35" t="s">
        <v>1673</v>
      </c>
      <c r="W246" s="35" t="s">
        <v>1673</v>
      </c>
      <c r="X246" s="35" t="s">
        <v>1799</v>
      </c>
      <c r="Y246" s="496"/>
      <c r="Z246" s="153" t="s">
        <v>274</v>
      </c>
      <c r="AA246" s="154">
        <v>5625</v>
      </c>
      <c r="AB246" s="491"/>
      <c r="AC246" s="490"/>
    </row>
    <row r="247" spans="2:29" ht="12.75">
      <c r="B247" s="47" t="s">
        <v>1972</v>
      </c>
      <c r="C247" s="47" t="s">
        <v>1998</v>
      </c>
      <c r="D247" s="48" t="s">
        <v>1674</v>
      </c>
      <c r="E247" s="47" t="s">
        <v>1673</v>
      </c>
      <c r="F247" s="47" t="s">
        <v>1673</v>
      </c>
      <c r="G247" s="47" t="s">
        <v>1799</v>
      </c>
      <c r="H247" s="49">
        <v>4.2900000000000002E-4</v>
      </c>
      <c r="I247" s="47">
        <v>0.85</v>
      </c>
      <c r="J247" s="78">
        <v>0.5466230346720774</v>
      </c>
      <c r="K247" s="80" t="s">
        <v>276</v>
      </c>
      <c r="L247" s="510"/>
      <c r="M247" s="62">
        <v>6.0999999999999999E-2</v>
      </c>
      <c r="N247" s="80" t="s">
        <v>276</v>
      </c>
      <c r="O247" s="513"/>
      <c r="P247" s="47" t="s">
        <v>1945</v>
      </c>
      <c r="Q247" s="237" t="s">
        <v>256</v>
      </c>
      <c r="S247" s="35" t="s">
        <v>1972</v>
      </c>
      <c r="T247" s="35" t="s">
        <v>1998</v>
      </c>
      <c r="U247" s="36" t="s">
        <v>1674</v>
      </c>
      <c r="V247" s="35" t="s">
        <v>1673</v>
      </c>
      <c r="W247" s="35" t="s">
        <v>1673</v>
      </c>
      <c r="X247" s="35" t="s">
        <v>1799</v>
      </c>
      <c r="Y247" s="496"/>
      <c r="Z247" s="149" t="s">
        <v>276</v>
      </c>
      <c r="AA247" s="150">
        <v>5625</v>
      </c>
      <c r="AB247" s="35" t="s">
        <v>1946</v>
      </c>
      <c r="AC247" s="239" t="s">
        <v>256</v>
      </c>
    </row>
    <row r="248" spans="2:29" ht="12.75">
      <c r="B248" s="50" t="s">
        <v>1972</v>
      </c>
      <c r="C248" s="50" t="s">
        <v>1998</v>
      </c>
      <c r="D248" s="51" t="s">
        <v>1673</v>
      </c>
      <c r="E248" s="50" t="s">
        <v>1674</v>
      </c>
      <c r="F248" s="50" t="s">
        <v>1674</v>
      </c>
      <c r="G248" s="50" t="s">
        <v>1778</v>
      </c>
      <c r="H248" s="52" t="s">
        <v>2010</v>
      </c>
      <c r="I248" s="50">
        <v>0.85</v>
      </c>
      <c r="J248" s="78">
        <v>1.2334875498429871</v>
      </c>
      <c r="K248" s="85" t="s">
        <v>274</v>
      </c>
      <c r="L248" s="523">
        <v>1.8305478482016908</v>
      </c>
      <c r="M248" s="62">
        <v>3.7999999999999999E-2</v>
      </c>
      <c r="N248" s="85" t="s">
        <v>274</v>
      </c>
      <c r="O248" s="521" t="s">
        <v>2000</v>
      </c>
      <c r="P248" s="50" t="s">
        <v>1523</v>
      </c>
      <c r="Q248" s="235" t="s">
        <v>275</v>
      </c>
      <c r="S248" s="50" t="s">
        <v>1972</v>
      </c>
      <c r="T248" s="50" t="s">
        <v>1998</v>
      </c>
      <c r="U248" s="51" t="s">
        <v>1673</v>
      </c>
      <c r="V248" s="50" t="s">
        <v>1674</v>
      </c>
      <c r="W248" s="50" t="s">
        <v>1674</v>
      </c>
      <c r="X248" s="50" t="s">
        <v>1778</v>
      </c>
      <c r="Y248" s="502">
        <v>4000</v>
      </c>
      <c r="Z248" s="161" t="s">
        <v>274</v>
      </c>
      <c r="AA248" s="162">
        <v>3000</v>
      </c>
      <c r="AB248" s="50" t="s">
        <v>1943</v>
      </c>
      <c r="AC248" s="238" t="s">
        <v>275</v>
      </c>
    </row>
    <row r="249" spans="2:29" ht="12.75">
      <c r="B249" s="50" t="s">
        <v>1972</v>
      </c>
      <c r="C249" s="50" t="s">
        <v>1998</v>
      </c>
      <c r="D249" s="51" t="s">
        <v>1673</v>
      </c>
      <c r="E249" s="50" t="s">
        <v>1674</v>
      </c>
      <c r="F249" s="50" t="s">
        <v>1674</v>
      </c>
      <c r="G249" s="50" t="s">
        <v>1778</v>
      </c>
      <c r="H249" s="52" t="s">
        <v>2010</v>
      </c>
      <c r="I249" s="50">
        <v>0.85</v>
      </c>
      <c r="J249" s="78">
        <v>1.2334875498429871</v>
      </c>
      <c r="K249" s="85" t="s">
        <v>276</v>
      </c>
      <c r="L249" s="523"/>
      <c r="M249" s="62">
        <v>3.7999999999999999E-2</v>
      </c>
      <c r="N249" s="85" t="s">
        <v>274</v>
      </c>
      <c r="O249" s="521"/>
      <c r="P249" s="50" t="s">
        <v>1944</v>
      </c>
      <c r="Q249" s="236" t="s">
        <v>277</v>
      </c>
      <c r="S249" s="50" t="s">
        <v>1972</v>
      </c>
      <c r="T249" s="50" t="s">
        <v>1998</v>
      </c>
      <c r="U249" s="51" t="s">
        <v>1673</v>
      </c>
      <c r="V249" s="50" t="s">
        <v>1674</v>
      </c>
      <c r="W249" s="50" t="s">
        <v>1674</v>
      </c>
      <c r="X249" s="50" t="s">
        <v>1778</v>
      </c>
      <c r="Y249" s="502"/>
      <c r="Z249" s="163" t="s">
        <v>276</v>
      </c>
      <c r="AA249" s="164">
        <v>3000</v>
      </c>
      <c r="AB249" s="529" t="s">
        <v>1944</v>
      </c>
      <c r="AC249" s="490" t="s">
        <v>277</v>
      </c>
    </row>
    <row r="250" spans="2:29" ht="12.75">
      <c r="B250" s="50" t="s">
        <v>1972</v>
      </c>
      <c r="C250" s="50" t="s">
        <v>1998</v>
      </c>
      <c r="D250" s="51" t="s">
        <v>1673</v>
      </c>
      <c r="E250" s="50" t="s">
        <v>1674</v>
      </c>
      <c r="F250" s="50" t="s">
        <v>1674</v>
      </c>
      <c r="G250" s="50" t="s">
        <v>1778</v>
      </c>
      <c r="H250" s="52">
        <v>1.07E-3</v>
      </c>
      <c r="I250" s="50">
        <v>0.85</v>
      </c>
      <c r="J250" s="78">
        <v>1.2334875498429871</v>
      </c>
      <c r="K250" s="85" t="s">
        <v>274</v>
      </c>
      <c r="L250" s="523"/>
      <c r="M250" s="62">
        <v>3.7999999999999999E-2</v>
      </c>
      <c r="N250" s="85" t="s">
        <v>276</v>
      </c>
      <c r="O250" s="521"/>
      <c r="P250" s="50" t="s">
        <v>1944</v>
      </c>
      <c r="Q250" s="236" t="s">
        <v>277</v>
      </c>
      <c r="S250" s="50" t="s">
        <v>1972</v>
      </c>
      <c r="T250" s="50" t="s">
        <v>1998</v>
      </c>
      <c r="U250" s="51" t="s">
        <v>1673</v>
      </c>
      <c r="V250" s="50" t="s">
        <v>1674</v>
      </c>
      <c r="W250" s="50" t="s">
        <v>1674</v>
      </c>
      <c r="X250" s="50" t="s">
        <v>1778</v>
      </c>
      <c r="Y250" s="502"/>
      <c r="Z250" s="165" t="s">
        <v>274</v>
      </c>
      <c r="AA250" s="166">
        <v>5000</v>
      </c>
      <c r="AB250" s="529"/>
      <c r="AC250" s="490"/>
    </row>
    <row r="251" spans="2:29" ht="12.75">
      <c r="B251" s="50" t="s">
        <v>1972</v>
      </c>
      <c r="C251" s="50" t="s">
        <v>1998</v>
      </c>
      <c r="D251" s="51" t="s">
        <v>1673</v>
      </c>
      <c r="E251" s="50" t="s">
        <v>1674</v>
      </c>
      <c r="F251" s="50" t="s">
        <v>1674</v>
      </c>
      <c r="G251" s="50" t="s">
        <v>1778</v>
      </c>
      <c r="H251" s="52">
        <v>1.07E-3</v>
      </c>
      <c r="I251" s="50">
        <v>0.85</v>
      </c>
      <c r="J251" s="78">
        <v>1.2334875498429871</v>
      </c>
      <c r="K251" s="85" t="s">
        <v>276</v>
      </c>
      <c r="L251" s="523"/>
      <c r="M251" s="62">
        <v>3.7999999999999999E-2</v>
      </c>
      <c r="N251" s="85" t="s">
        <v>276</v>
      </c>
      <c r="O251" s="521"/>
      <c r="P251" s="50" t="s">
        <v>1945</v>
      </c>
      <c r="Q251" s="237" t="s">
        <v>256</v>
      </c>
      <c r="S251" s="50" t="s">
        <v>1972</v>
      </c>
      <c r="T251" s="50" t="s">
        <v>1998</v>
      </c>
      <c r="U251" s="51" t="s">
        <v>1673</v>
      </c>
      <c r="V251" s="50" t="s">
        <v>1674</v>
      </c>
      <c r="W251" s="50" t="s">
        <v>1674</v>
      </c>
      <c r="X251" s="50" t="s">
        <v>1778</v>
      </c>
      <c r="Y251" s="502"/>
      <c r="Z251" s="161" t="s">
        <v>276</v>
      </c>
      <c r="AA251" s="162">
        <v>5000</v>
      </c>
      <c r="AB251" s="50" t="s">
        <v>1946</v>
      </c>
      <c r="AC251" s="239" t="s">
        <v>256</v>
      </c>
    </row>
    <row r="252" spans="2:29" ht="12.75">
      <c r="B252" s="47" t="s">
        <v>1972</v>
      </c>
      <c r="C252" s="47" t="s">
        <v>1998</v>
      </c>
      <c r="D252" s="48" t="s">
        <v>1673</v>
      </c>
      <c r="E252" s="47" t="s">
        <v>1674</v>
      </c>
      <c r="F252" s="47" t="s">
        <v>1674</v>
      </c>
      <c r="G252" s="47" t="s">
        <v>1781</v>
      </c>
      <c r="H252" s="49" t="s">
        <v>2011</v>
      </c>
      <c r="I252" s="47">
        <v>0.85</v>
      </c>
      <c r="J252" s="78">
        <v>0.98186714570739819</v>
      </c>
      <c r="K252" s="80" t="s">
        <v>274</v>
      </c>
      <c r="L252" s="510">
        <v>1.8305478482016908</v>
      </c>
      <c r="M252" s="62">
        <v>3.4000000000000002E-2</v>
      </c>
      <c r="N252" s="80" t="s">
        <v>274</v>
      </c>
      <c r="O252" s="513" t="s">
        <v>2000</v>
      </c>
      <c r="P252" s="47" t="s">
        <v>1523</v>
      </c>
      <c r="Q252" s="235" t="s">
        <v>275</v>
      </c>
      <c r="S252" s="35" t="s">
        <v>1972</v>
      </c>
      <c r="T252" s="35" t="s">
        <v>1998</v>
      </c>
      <c r="U252" s="36" t="s">
        <v>1673</v>
      </c>
      <c r="V252" s="35" t="s">
        <v>1674</v>
      </c>
      <c r="W252" s="35" t="s">
        <v>1674</v>
      </c>
      <c r="X252" s="35" t="s">
        <v>1781</v>
      </c>
      <c r="Y252" s="496">
        <v>2500</v>
      </c>
      <c r="Z252" s="149" t="s">
        <v>274</v>
      </c>
      <c r="AA252" s="150">
        <v>1875</v>
      </c>
      <c r="AB252" s="35" t="s">
        <v>1943</v>
      </c>
      <c r="AC252" s="238" t="s">
        <v>275</v>
      </c>
    </row>
    <row r="253" spans="2:29" ht="12.75">
      <c r="B253" s="47" t="s">
        <v>1972</v>
      </c>
      <c r="C253" s="47" t="s">
        <v>1998</v>
      </c>
      <c r="D253" s="48" t="s">
        <v>1673</v>
      </c>
      <c r="E253" s="47" t="s">
        <v>1674</v>
      </c>
      <c r="F253" s="47" t="s">
        <v>1674</v>
      </c>
      <c r="G253" s="47" t="s">
        <v>1781</v>
      </c>
      <c r="H253" s="49" t="s">
        <v>2011</v>
      </c>
      <c r="I253" s="47">
        <v>0.85</v>
      </c>
      <c r="J253" s="78">
        <v>0.98186714570739819</v>
      </c>
      <c r="K253" s="80" t="s">
        <v>276</v>
      </c>
      <c r="L253" s="510"/>
      <c r="M253" s="62">
        <v>3.4000000000000002E-2</v>
      </c>
      <c r="N253" s="80" t="s">
        <v>274</v>
      </c>
      <c r="O253" s="513"/>
      <c r="P253" s="47" t="s">
        <v>1944</v>
      </c>
      <c r="Q253" s="236" t="s">
        <v>277</v>
      </c>
      <c r="S253" s="35" t="s">
        <v>1972</v>
      </c>
      <c r="T253" s="35" t="s">
        <v>1998</v>
      </c>
      <c r="U253" s="36" t="s">
        <v>1673</v>
      </c>
      <c r="V253" s="35" t="s">
        <v>1674</v>
      </c>
      <c r="W253" s="35" t="s">
        <v>1674</v>
      </c>
      <c r="X253" s="35" t="s">
        <v>1781</v>
      </c>
      <c r="Y253" s="496"/>
      <c r="Z253" s="151" t="s">
        <v>276</v>
      </c>
      <c r="AA253" s="152">
        <v>1875</v>
      </c>
      <c r="AB253" s="491" t="s">
        <v>1944</v>
      </c>
      <c r="AC253" s="490" t="s">
        <v>277</v>
      </c>
    </row>
    <row r="254" spans="2:29" ht="12.75">
      <c r="B254" s="47" t="s">
        <v>1972</v>
      </c>
      <c r="C254" s="47" t="s">
        <v>1998</v>
      </c>
      <c r="D254" s="48" t="s">
        <v>1673</v>
      </c>
      <c r="E254" s="47" t="s">
        <v>1674</v>
      </c>
      <c r="F254" s="47" t="s">
        <v>1674</v>
      </c>
      <c r="G254" s="47" t="s">
        <v>1781</v>
      </c>
      <c r="H254" s="49">
        <v>1.2700000000000001E-3</v>
      </c>
      <c r="I254" s="47">
        <v>0.85</v>
      </c>
      <c r="J254" s="78">
        <v>0.98186714570739819</v>
      </c>
      <c r="K254" s="80" t="s">
        <v>274</v>
      </c>
      <c r="L254" s="510"/>
      <c r="M254" s="62">
        <v>3.4000000000000002E-2</v>
      </c>
      <c r="N254" s="80" t="s">
        <v>276</v>
      </c>
      <c r="O254" s="513"/>
      <c r="P254" s="47" t="s">
        <v>1944</v>
      </c>
      <c r="Q254" s="236" t="s">
        <v>277</v>
      </c>
      <c r="S254" s="35" t="s">
        <v>1972</v>
      </c>
      <c r="T254" s="35" t="s">
        <v>1998</v>
      </c>
      <c r="U254" s="36" t="s">
        <v>1673</v>
      </c>
      <c r="V254" s="35" t="s">
        <v>1674</v>
      </c>
      <c r="W254" s="35" t="s">
        <v>1674</v>
      </c>
      <c r="X254" s="35" t="s">
        <v>1781</v>
      </c>
      <c r="Y254" s="496"/>
      <c r="Z254" s="153" t="s">
        <v>274</v>
      </c>
      <c r="AA254" s="154">
        <v>3125</v>
      </c>
      <c r="AB254" s="491"/>
      <c r="AC254" s="490"/>
    </row>
    <row r="255" spans="2:29" ht="12.75">
      <c r="B255" s="47" t="s">
        <v>1972</v>
      </c>
      <c r="C255" s="47" t="s">
        <v>1998</v>
      </c>
      <c r="D255" s="48" t="s">
        <v>1673</v>
      </c>
      <c r="E255" s="47" t="s">
        <v>1674</v>
      </c>
      <c r="F255" s="47" t="s">
        <v>1674</v>
      </c>
      <c r="G255" s="47" t="s">
        <v>1781</v>
      </c>
      <c r="H255" s="49">
        <v>1.2700000000000001E-3</v>
      </c>
      <c r="I255" s="47">
        <v>0.85</v>
      </c>
      <c r="J255" s="78">
        <v>0.98186714570739819</v>
      </c>
      <c r="K255" s="80" t="s">
        <v>276</v>
      </c>
      <c r="L255" s="510"/>
      <c r="M255" s="62">
        <v>3.4000000000000002E-2</v>
      </c>
      <c r="N255" s="80" t="s">
        <v>276</v>
      </c>
      <c r="O255" s="513"/>
      <c r="P255" s="47" t="s">
        <v>1945</v>
      </c>
      <c r="Q255" s="237" t="s">
        <v>256</v>
      </c>
      <c r="S255" s="35" t="s">
        <v>1972</v>
      </c>
      <c r="T255" s="35" t="s">
        <v>1998</v>
      </c>
      <c r="U255" s="36" t="s">
        <v>1673</v>
      </c>
      <c r="V255" s="35" t="s">
        <v>1674</v>
      </c>
      <c r="W255" s="35" t="s">
        <v>1674</v>
      </c>
      <c r="X255" s="35" t="s">
        <v>1781</v>
      </c>
      <c r="Y255" s="496"/>
      <c r="Z255" s="149" t="s">
        <v>276</v>
      </c>
      <c r="AA255" s="150">
        <v>3125</v>
      </c>
      <c r="AB255" s="35" t="s">
        <v>1946</v>
      </c>
      <c r="AC255" s="239" t="s">
        <v>256</v>
      </c>
    </row>
    <row r="256" spans="2:29" ht="12.75">
      <c r="B256" s="50" t="s">
        <v>1972</v>
      </c>
      <c r="C256" s="50" t="s">
        <v>1998</v>
      </c>
      <c r="D256" s="51" t="s">
        <v>1673</v>
      </c>
      <c r="E256" s="50" t="s">
        <v>1674</v>
      </c>
      <c r="F256" s="50" t="s">
        <v>1674</v>
      </c>
      <c r="G256" s="50" t="s">
        <v>1799</v>
      </c>
      <c r="H256" s="52" t="s">
        <v>2012</v>
      </c>
      <c r="I256" s="50">
        <v>0.85</v>
      </c>
      <c r="J256" s="78">
        <v>1.5035318902402128</v>
      </c>
      <c r="K256" s="85" t="s">
        <v>274</v>
      </c>
      <c r="L256" s="523">
        <v>1.8305478482016908</v>
      </c>
      <c r="M256" s="62">
        <v>3.4000000000000002E-2</v>
      </c>
      <c r="N256" s="85" t="s">
        <v>274</v>
      </c>
      <c r="O256" s="521" t="s">
        <v>2000</v>
      </c>
      <c r="P256" s="50" t="s">
        <v>1523</v>
      </c>
      <c r="Q256" s="235" t="s">
        <v>275</v>
      </c>
      <c r="S256" s="50" t="s">
        <v>1972</v>
      </c>
      <c r="T256" s="50" t="s">
        <v>1998</v>
      </c>
      <c r="U256" s="51" t="s">
        <v>1673</v>
      </c>
      <c r="V256" s="50" t="s">
        <v>1674</v>
      </c>
      <c r="W256" s="50" t="s">
        <v>1674</v>
      </c>
      <c r="X256" s="50" t="s">
        <v>1799</v>
      </c>
      <c r="Y256" s="502">
        <v>4500</v>
      </c>
      <c r="Z256" s="161" t="s">
        <v>274</v>
      </c>
      <c r="AA256" s="162">
        <v>3375</v>
      </c>
      <c r="AB256" s="50" t="s">
        <v>1943</v>
      </c>
      <c r="AC256" s="238" t="s">
        <v>275</v>
      </c>
    </row>
    <row r="257" spans="2:29" ht="12.75">
      <c r="B257" s="50" t="s">
        <v>1972</v>
      </c>
      <c r="C257" s="50" t="s">
        <v>1998</v>
      </c>
      <c r="D257" s="51" t="s">
        <v>1673</v>
      </c>
      <c r="E257" s="50" t="s">
        <v>1674</v>
      </c>
      <c r="F257" s="50" t="s">
        <v>1674</v>
      </c>
      <c r="G257" s="50" t="s">
        <v>1799</v>
      </c>
      <c r="H257" s="52" t="s">
        <v>2012</v>
      </c>
      <c r="I257" s="50">
        <v>0.85</v>
      </c>
      <c r="J257" s="78">
        <v>1.5035318902402128</v>
      </c>
      <c r="K257" s="85" t="s">
        <v>276</v>
      </c>
      <c r="L257" s="523"/>
      <c r="M257" s="62">
        <v>3.4000000000000002E-2</v>
      </c>
      <c r="N257" s="85" t="s">
        <v>274</v>
      </c>
      <c r="O257" s="521"/>
      <c r="P257" s="50" t="s">
        <v>1944</v>
      </c>
      <c r="Q257" s="236" t="s">
        <v>277</v>
      </c>
      <c r="S257" s="50" t="s">
        <v>1972</v>
      </c>
      <c r="T257" s="50" t="s">
        <v>1998</v>
      </c>
      <c r="U257" s="51" t="s">
        <v>1673</v>
      </c>
      <c r="V257" s="50" t="s">
        <v>1674</v>
      </c>
      <c r="W257" s="50" t="s">
        <v>1674</v>
      </c>
      <c r="X257" s="50" t="s">
        <v>1799</v>
      </c>
      <c r="Y257" s="502"/>
      <c r="Z257" s="163" t="s">
        <v>276</v>
      </c>
      <c r="AA257" s="164">
        <v>3375</v>
      </c>
      <c r="AB257" s="529" t="s">
        <v>1944</v>
      </c>
      <c r="AC257" s="490" t="s">
        <v>277</v>
      </c>
    </row>
    <row r="258" spans="2:29" ht="12.75">
      <c r="B258" s="50" t="s">
        <v>1972</v>
      </c>
      <c r="C258" s="50" t="s">
        <v>1998</v>
      </c>
      <c r="D258" s="51" t="s">
        <v>1673</v>
      </c>
      <c r="E258" s="50" t="s">
        <v>1674</v>
      </c>
      <c r="F258" s="50" t="s">
        <v>1674</v>
      </c>
      <c r="G258" s="50" t="s">
        <v>1799</v>
      </c>
      <c r="H258" s="52">
        <v>1.1800000000000001E-3</v>
      </c>
      <c r="I258" s="50">
        <v>0.85</v>
      </c>
      <c r="J258" s="78">
        <v>1.5035318902402128</v>
      </c>
      <c r="K258" s="85" t="s">
        <v>274</v>
      </c>
      <c r="L258" s="523"/>
      <c r="M258" s="62">
        <v>3.4000000000000002E-2</v>
      </c>
      <c r="N258" s="85" t="s">
        <v>276</v>
      </c>
      <c r="O258" s="521"/>
      <c r="P258" s="50" t="s">
        <v>1944</v>
      </c>
      <c r="Q258" s="236" t="s">
        <v>277</v>
      </c>
      <c r="S258" s="50" t="s">
        <v>1972</v>
      </c>
      <c r="T258" s="50" t="s">
        <v>1998</v>
      </c>
      <c r="U258" s="51" t="s">
        <v>1673</v>
      </c>
      <c r="V258" s="50" t="s">
        <v>1674</v>
      </c>
      <c r="W258" s="50" t="s">
        <v>1674</v>
      </c>
      <c r="X258" s="50" t="s">
        <v>1799</v>
      </c>
      <c r="Y258" s="502"/>
      <c r="Z258" s="165" t="s">
        <v>274</v>
      </c>
      <c r="AA258" s="166">
        <v>5625</v>
      </c>
      <c r="AB258" s="529"/>
      <c r="AC258" s="490"/>
    </row>
    <row r="259" spans="2:29" ht="12.75">
      <c r="B259" s="50" t="s">
        <v>1972</v>
      </c>
      <c r="C259" s="50" t="s">
        <v>1998</v>
      </c>
      <c r="D259" s="51" t="s">
        <v>1673</v>
      </c>
      <c r="E259" s="50" t="s">
        <v>1674</v>
      </c>
      <c r="F259" s="50" t="s">
        <v>1674</v>
      </c>
      <c r="G259" s="50" t="s">
        <v>1799</v>
      </c>
      <c r="H259" s="52">
        <v>1.1800000000000001E-3</v>
      </c>
      <c r="I259" s="50">
        <v>0.85</v>
      </c>
      <c r="J259" s="78">
        <v>1.5035318902402128</v>
      </c>
      <c r="K259" s="85" t="s">
        <v>276</v>
      </c>
      <c r="L259" s="523"/>
      <c r="M259" s="62">
        <v>3.4000000000000002E-2</v>
      </c>
      <c r="N259" s="85" t="s">
        <v>276</v>
      </c>
      <c r="O259" s="521"/>
      <c r="P259" s="50" t="s">
        <v>1945</v>
      </c>
      <c r="Q259" s="237" t="s">
        <v>256</v>
      </c>
      <c r="S259" s="50" t="s">
        <v>1972</v>
      </c>
      <c r="T259" s="50" t="s">
        <v>1998</v>
      </c>
      <c r="U259" s="51" t="s">
        <v>1673</v>
      </c>
      <c r="V259" s="50" t="s">
        <v>1674</v>
      </c>
      <c r="W259" s="50" t="s">
        <v>1674</v>
      </c>
      <c r="X259" s="50" t="s">
        <v>1799</v>
      </c>
      <c r="Y259" s="502"/>
      <c r="Z259" s="161" t="s">
        <v>276</v>
      </c>
      <c r="AA259" s="162">
        <v>5625</v>
      </c>
      <c r="AB259" s="50" t="s">
        <v>1946</v>
      </c>
      <c r="AC259" s="239" t="s">
        <v>256</v>
      </c>
    </row>
    <row r="260" spans="2:29" ht="12.75">
      <c r="B260" s="47" t="s">
        <v>1972</v>
      </c>
      <c r="C260" s="47" t="s">
        <v>1998</v>
      </c>
      <c r="D260" s="48" t="s">
        <v>1673</v>
      </c>
      <c r="E260" s="47" t="s">
        <v>1674</v>
      </c>
      <c r="F260" s="47" t="s">
        <v>1673</v>
      </c>
      <c r="G260" s="47" t="s">
        <v>1778</v>
      </c>
      <c r="H260" s="49" t="s">
        <v>2013</v>
      </c>
      <c r="I260" s="47">
        <v>0.85</v>
      </c>
      <c r="J260" s="78">
        <v>0.8230935612970961</v>
      </c>
      <c r="K260" s="80" t="s">
        <v>274</v>
      </c>
      <c r="L260" s="510">
        <v>1.8305478482016908</v>
      </c>
      <c r="M260" s="62">
        <v>3.7999999999999999E-2</v>
      </c>
      <c r="N260" s="80" t="s">
        <v>274</v>
      </c>
      <c r="O260" s="513" t="s">
        <v>2000</v>
      </c>
      <c r="P260" s="47" t="s">
        <v>1523</v>
      </c>
      <c r="Q260" s="235" t="s">
        <v>275</v>
      </c>
      <c r="S260" s="35" t="s">
        <v>1972</v>
      </c>
      <c r="T260" s="35" t="s">
        <v>1998</v>
      </c>
      <c r="U260" s="36" t="s">
        <v>1673</v>
      </c>
      <c r="V260" s="35" t="s">
        <v>1674</v>
      </c>
      <c r="W260" s="35" t="s">
        <v>1673</v>
      </c>
      <c r="X260" s="35" t="s">
        <v>1778</v>
      </c>
      <c r="Y260" s="496">
        <v>4000</v>
      </c>
      <c r="Z260" s="149" t="s">
        <v>274</v>
      </c>
      <c r="AA260" s="150">
        <v>3000</v>
      </c>
      <c r="AB260" s="35" t="s">
        <v>1943</v>
      </c>
      <c r="AC260" s="238" t="s">
        <v>275</v>
      </c>
    </row>
    <row r="261" spans="2:29" ht="12.75">
      <c r="B261" s="47" t="s">
        <v>1972</v>
      </c>
      <c r="C261" s="47" t="s">
        <v>1998</v>
      </c>
      <c r="D261" s="48" t="s">
        <v>1673</v>
      </c>
      <c r="E261" s="47" t="s">
        <v>1674</v>
      </c>
      <c r="F261" s="47" t="s">
        <v>1673</v>
      </c>
      <c r="G261" s="47" t="s">
        <v>1778</v>
      </c>
      <c r="H261" s="49" t="s">
        <v>2013</v>
      </c>
      <c r="I261" s="47">
        <v>0.85</v>
      </c>
      <c r="J261" s="78">
        <v>0.8230935612970961</v>
      </c>
      <c r="K261" s="80" t="s">
        <v>276</v>
      </c>
      <c r="L261" s="510"/>
      <c r="M261" s="62">
        <v>3.7999999999999999E-2</v>
      </c>
      <c r="N261" s="80" t="s">
        <v>274</v>
      </c>
      <c r="O261" s="513"/>
      <c r="P261" s="47" t="s">
        <v>1944</v>
      </c>
      <c r="Q261" s="236" t="s">
        <v>277</v>
      </c>
      <c r="S261" s="35" t="s">
        <v>1972</v>
      </c>
      <c r="T261" s="35" t="s">
        <v>1998</v>
      </c>
      <c r="U261" s="36" t="s">
        <v>1673</v>
      </c>
      <c r="V261" s="35" t="s">
        <v>1674</v>
      </c>
      <c r="W261" s="35" t="s">
        <v>1673</v>
      </c>
      <c r="X261" s="35" t="s">
        <v>1778</v>
      </c>
      <c r="Y261" s="496"/>
      <c r="Z261" s="151" t="s">
        <v>276</v>
      </c>
      <c r="AA261" s="152">
        <v>3000</v>
      </c>
      <c r="AB261" s="491" t="s">
        <v>1944</v>
      </c>
      <c r="AC261" s="490" t="s">
        <v>277</v>
      </c>
    </row>
    <row r="262" spans="2:29" ht="12.75">
      <c r="B262" s="47" t="s">
        <v>1972</v>
      </c>
      <c r="C262" s="47" t="s">
        <v>1998</v>
      </c>
      <c r="D262" s="48" t="s">
        <v>1673</v>
      </c>
      <c r="E262" s="47" t="s">
        <v>1674</v>
      </c>
      <c r="F262" s="47" t="s">
        <v>1673</v>
      </c>
      <c r="G262" s="47" t="s">
        <v>1778</v>
      </c>
      <c r="H262" s="49">
        <v>7.1400000000000001E-4</v>
      </c>
      <c r="I262" s="47">
        <v>0.85</v>
      </c>
      <c r="J262" s="78">
        <v>0.8230935612970961</v>
      </c>
      <c r="K262" s="80" t="s">
        <v>274</v>
      </c>
      <c r="L262" s="510"/>
      <c r="M262" s="62">
        <v>3.7999999999999999E-2</v>
      </c>
      <c r="N262" s="80" t="s">
        <v>276</v>
      </c>
      <c r="O262" s="513"/>
      <c r="P262" s="47" t="s">
        <v>1944</v>
      </c>
      <c r="Q262" s="236" t="s">
        <v>277</v>
      </c>
      <c r="S262" s="35" t="s">
        <v>1972</v>
      </c>
      <c r="T262" s="35" t="s">
        <v>1998</v>
      </c>
      <c r="U262" s="36" t="s">
        <v>1673</v>
      </c>
      <c r="V262" s="35" t="s">
        <v>1674</v>
      </c>
      <c r="W262" s="35" t="s">
        <v>1673</v>
      </c>
      <c r="X262" s="35" t="s">
        <v>1778</v>
      </c>
      <c r="Y262" s="496"/>
      <c r="Z262" s="153" t="s">
        <v>274</v>
      </c>
      <c r="AA262" s="154">
        <v>5000</v>
      </c>
      <c r="AB262" s="491"/>
      <c r="AC262" s="490"/>
    </row>
    <row r="263" spans="2:29" ht="12.75">
      <c r="B263" s="47" t="s">
        <v>1972</v>
      </c>
      <c r="C263" s="47" t="s">
        <v>1998</v>
      </c>
      <c r="D263" s="48" t="s">
        <v>1673</v>
      </c>
      <c r="E263" s="47" t="s">
        <v>1674</v>
      </c>
      <c r="F263" s="47" t="s">
        <v>1673</v>
      </c>
      <c r="G263" s="47" t="s">
        <v>1778</v>
      </c>
      <c r="H263" s="49">
        <v>7.1400000000000001E-4</v>
      </c>
      <c r="I263" s="47">
        <v>0.85</v>
      </c>
      <c r="J263" s="78">
        <v>0.8230935612970961</v>
      </c>
      <c r="K263" s="80" t="s">
        <v>276</v>
      </c>
      <c r="L263" s="510"/>
      <c r="M263" s="62">
        <v>3.7999999999999999E-2</v>
      </c>
      <c r="N263" s="80" t="s">
        <v>276</v>
      </c>
      <c r="O263" s="513"/>
      <c r="P263" s="47" t="s">
        <v>1945</v>
      </c>
      <c r="Q263" s="237" t="s">
        <v>256</v>
      </c>
      <c r="S263" s="35" t="s">
        <v>1972</v>
      </c>
      <c r="T263" s="35" t="s">
        <v>1998</v>
      </c>
      <c r="U263" s="36" t="s">
        <v>1673</v>
      </c>
      <c r="V263" s="35" t="s">
        <v>1674</v>
      </c>
      <c r="W263" s="35" t="s">
        <v>1673</v>
      </c>
      <c r="X263" s="35" t="s">
        <v>1778</v>
      </c>
      <c r="Y263" s="496"/>
      <c r="Z263" s="149" t="s">
        <v>276</v>
      </c>
      <c r="AA263" s="150">
        <v>5000</v>
      </c>
      <c r="AB263" s="35" t="s">
        <v>1946</v>
      </c>
      <c r="AC263" s="239" t="s">
        <v>256</v>
      </c>
    </row>
    <row r="264" spans="2:29" ht="12.75">
      <c r="B264" s="50" t="s">
        <v>1972</v>
      </c>
      <c r="C264" s="50" t="s">
        <v>1998</v>
      </c>
      <c r="D264" s="51" t="s">
        <v>1673</v>
      </c>
      <c r="E264" s="50" t="s">
        <v>1674</v>
      </c>
      <c r="F264" s="50" t="s">
        <v>1673</v>
      </c>
      <c r="G264" s="50" t="s">
        <v>1781</v>
      </c>
      <c r="H264" s="52" t="s">
        <v>2014</v>
      </c>
      <c r="I264" s="50">
        <v>0.85</v>
      </c>
      <c r="J264" s="78">
        <v>0.65406268131374712</v>
      </c>
      <c r="K264" s="85" t="s">
        <v>274</v>
      </c>
      <c r="L264" s="523">
        <v>1.8305478482016908</v>
      </c>
      <c r="M264" s="62">
        <v>3.4000000000000002E-2</v>
      </c>
      <c r="N264" s="85" t="s">
        <v>274</v>
      </c>
      <c r="O264" s="521" t="s">
        <v>2000</v>
      </c>
      <c r="P264" s="50" t="s">
        <v>1523</v>
      </c>
      <c r="Q264" s="235" t="s">
        <v>275</v>
      </c>
      <c r="S264" s="50" t="s">
        <v>1972</v>
      </c>
      <c r="T264" s="50" t="s">
        <v>1998</v>
      </c>
      <c r="U264" s="51" t="s">
        <v>1673</v>
      </c>
      <c r="V264" s="50" t="s">
        <v>1674</v>
      </c>
      <c r="W264" s="50" t="s">
        <v>1673</v>
      </c>
      <c r="X264" s="50" t="s">
        <v>1781</v>
      </c>
      <c r="Y264" s="502">
        <v>2500</v>
      </c>
      <c r="Z264" s="161" t="s">
        <v>274</v>
      </c>
      <c r="AA264" s="162">
        <v>1875</v>
      </c>
      <c r="AB264" s="50" t="s">
        <v>1943</v>
      </c>
      <c r="AC264" s="238" t="s">
        <v>275</v>
      </c>
    </row>
    <row r="265" spans="2:29" ht="12.75">
      <c r="B265" s="50" t="s">
        <v>1972</v>
      </c>
      <c r="C265" s="50" t="s">
        <v>1998</v>
      </c>
      <c r="D265" s="51" t="s">
        <v>1673</v>
      </c>
      <c r="E265" s="50" t="s">
        <v>1674</v>
      </c>
      <c r="F265" s="50" t="s">
        <v>1673</v>
      </c>
      <c r="G265" s="50" t="s">
        <v>1781</v>
      </c>
      <c r="H265" s="52" t="s">
        <v>2014</v>
      </c>
      <c r="I265" s="50">
        <v>0.85</v>
      </c>
      <c r="J265" s="78">
        <v>0.65406268131374712</v>
      </c>
      <c r="K265" s="85" t="s">
        <v>276</v>
      </c>
      <c r="L265" s="523"/>
      <c r="M265" s="62">
        <v>3.4000000000000002E-2</v>
      </c>
      <c r="N265" s="85" t="s">
        <v>274</v>
      </c>
      <c r="O265" s="521"/>
      <c r="P265" s="50" t="s">
        <v>1944</v>
      </c>
      <c r="Q265" s="236" t="s">
        <v>277</v>
      </c>
      <c r="S265" s="50" t="s">
        <v>1972</v>
      </c>
      <c r="T265" s="50" t="s">
        <v>1998</v>
      </c>
      <c r="U265" s="51" t="s">
        <v>1673</v>
      </c>
      <c r="V265" s="50" t="s">
        <v>1674</v>
      </c>
      <c r="W265" s="50" t="s">
        <v>1673</v>
      </c>
      <c r="X265" s="50" t="s">
        <v>1781</v>
      </c>
      <c r="Y265" s="502"/>
      <c r="Z265" s="163" t="s">
        <v>276</v>
      </c>
      <c r="AA265" s="164">
        <v>1875</v>
      </c>
      <c r="AB265" s="529" t="s">
        <v>1944</v>
      </c>
      <c r="AC265" s="490" t="s">
        <v>277</v>
      </c>
    </row>
    <row r="266" spans="2:29" ht="12.75">
      <c r="B266" s="50" t="s">
        <v>1972</v>
      </c>
      <c r="C266" s="50" t="s">
        <v>1998</v>
      </c>
      <c r="D266" s="51" t="s">
        <v>1673</v>
      </c>
      <c r="E266" s="50" t="s">
        <v>1674</v>
      </c>
      <c r="F266" s="50" t="s">
        <v>1673</v>
      </c>
      <c r="G266" s="50" t="s">
        <v>1781</v>
      </c>
      <c r="H266" s="52">
        <v>8.4600000000000007E-4</v>
      </c>
      <c r="I266" s="50">
        <v>0.85</v>
      </c>
      <c r="J266" s="78">
        <v>0.65406268131374712</v>
      </c>
      <c r="K266" s="85" t="s">
        <v>274</v>
      </c>
      <c r="L266" s="523"/>
      <c r="M266" s="62">
        <v>3.4000000000000002E-2</v>
      </c>
      <c r="N266" s="85" t="s">
        <v>276</v>
      </c>
      <c r="O266" s="521"/>
      <c r="P266" s="50" t="s">
        <v>1944</v>
      </c>
      <c r="Q266" s="236" t="s">
        <v>277</v>
      </c>
      <c r="S266" s="50" t="s">
        <v>1972</v>
      </c>
      <c r="T266" s="50" t="s">
        <v>1998</v>
      </c>
      <c r="U266" s="51" t="s">
        <v>1673</v>
      </c>
      <c r="V266" s="50" t="s">
        <v>1674</v>
      </c>
      <c r="W266" s="50" t="s">
        <v>1673</v>
      </c>
      <c r="X266" s="50" t="s">
        <v>1781</v>
      </c>
      <c r="Y266" s="502"/>
      <c r="Z266" s="165" t="s">
        <v>274</v>
      </c>
      <c r="AA266" s="166">
        <v>3125</v>
      </c>
      <c r="AB266" s="529"/>
      <c r="AC266" s="490"/>
    </row>
    <row r="267" spans="2:29" ht="12.75">
      <c r="B267" s="50" t="s">
        <v>1972</v>
      </c>
      <c r="C267" s="50" t="s">
        <v>1998</v>
      </c>
      <c r="D267" s="51" t="s">
        <v>1673</v>
      </c>
      <c r="E267" s="50" t="s">
        <v>1674</v>
      </c>
      <c r="F267" s="50" t="s">
        <v>1673</v>
      </c>
      <c r="G267" s="50" t="s">
        <v>1781</v>
      </c>
      <c r="H267" s="52">
        <v>8.4600000000000007E-4</v>
      </c>
      <c r="I267" s="50">
        <v>0.85</v>
      </c>
      <c r="J267" s="78">
        <v>0.65406268131374712</v>
      </c>
      <c r="K267" s="85" t="s">
        <v>276</v>
      </c>
      <c r="L267" s="523"/>
      <c r="M267" s="62">
        <v>3.4000000000000002E-2</v>
      </c>
      <c r="N267" s="85" t="s">
        <v>276</v>
      </c>
      <c r="O267" s="521"/>
      <c r="P267" s="50" t="s">
        <v>1945</v>
      </c>
      <c r="Q267" s="237" t="s">
        <v>256</v>
      </c>
      <c r="S267" s="50" t="s">
        <v>1972</v>
      </c>
      <c r="T267" s="50" t="s">
        <v>1998</v>
      </c>
      <c r="U267" s="51" t="s">
        <v>1673</v>
      </c>
      <c r="V267" s="50" t="s">
        <v>1674</v>
      </c>
      <c r="W267" s="50" t="s">
        <v>1673</v>
      </c>
      <c r="X267" s="50" t="s">
        <v>1781</v>
      </c>
      <c r="Y267" s="502"/>
      <c r="Z267" s="161" t="s">
        <v>276</v>
      </c>
      <c r="AA267" s="162">
        <v>3125</v>
      </c>
      <c r="AB267" s="50" t="s">
        <v>1946</v>
      </c>
      <c r="AC267" s="239" t="s">
        <v>256</v>
      </c>
    </row>
    <row r="268" spans="2:29" ht="12.75">
      <c r="B268" s="47" t="s">
        <v>1972</v>
      </c>
      <c r="C268" s="47" t="s">
        <v>1998</v>
      </c>
      <c r="D268" s="48" t="s">
        <v>1673</v>
      </c>
      <c r="E268" s="47" t="s">
        <v>1674</v>
      </c>
      <c r="F268" s="47" t="s">
        <v>1673</v>
      </c>
      <c r="G268" s="47" t="s">
        <v>1799</v>
      </c>
      <c r="H268" s="49" t="s">
        <v>2015</v>
      </c>
      <c r="I268" s="47">
        <v>0.85</v>
      </c>
      <c r="J268" s="78">
        <v>1.0078760382881427</v>
      </c>
      <c r="K268" s="80" t="s">
        <v>274</v>
      </c>
      <c r="L268" s="510">
        <v>1.8305478482016908</v>
      </c>
      <c r="M268" s="62">
        <v>3.4000000000000002E-2</v>
      </c>
      <c r="N268" s="80" t="s">
        <v>274</v>
      </c>
      <c r="O268" s="513" t="s">
        <v>2000</v>
      </c>
      <c r="P268" s="47" t="s">
        <v>1523</v>
      </c>
      <c r="Q268" s="235" t="s">
        <v>275</v>
      </c>
      <c r="S268" s="35" t="s">
        <v>1972</v>
      </c>
      <c r="T268" s="35" t="s">
        <v>1998</v>
      </c>
      <c r="U268" s="36" t="s">
        <v>1673</v>
      </c>
      <c r="V268" s="35" t="s">
        <v>1674</v>
      </c>
      <c r="W268" s="35" t="s">
        <v>1673</v>
      </c>
      <c r="X268" s="35" t="s">
        <v>1799</v>
      </c>
      <c r="Y268" s="496">
        <v>4500</v>
      </c>
      <c r="Z268" s="149" t="s">
        <v>274</v>
      </c>
      <c r="AA268" s="150">
        <v>3375</v>
      </c>
      <c r="AB268" s="35" t="s">
        <v>1943</v>
      </c>
      <c r="AC268" s="238" t="s">
        <v>275</v>
      </c>
    </row>
    <row r="269" spans="2:29" ht="12.75">
      <c r="B269" s="47" t="s">
        <v>1972</v>
      </c>
      <c r="C269" s="47" t="s">
        <v>1998</v>
      </c>
      <c r="D269" s="48" t="s">
        <v>1673</v>
      </c>
      <c r="E269" s="47" t="s">
        <v>1674</v>
      </c>
      <c r="F269" s="47" t="s">
        <v>1673</v>
      </c>
      <c r="G269" s="47" t="s">
        <v>1799</v>
      </c>
      <c r="H269" s="49" t="s">
        <v>2015</v>
      </c>
      <c r="I269" s="47">
        <v>0.85</v>
      </c>
      <c r="J269" s="78">
        <v>1.0078760382881427</v>
      </c>
      <c r="K269" s="80" t="s">
        <v>276</v>
      </c>
      <c r="L269" s="510"/>
      <c r="M269" s="62">
        <v>3.4000000000000002E-2</v>
      </c>
      <c r="N269" s="80" t="s">
        <v>274</v>
      </c>
      <c r="O269" s="513"/>
      <c r="P269" s="47" t="s">
        <v>1944</v>
      </c>
      <c r="Q269" s="236" t="s">
        <v>277</v>
      </c>
      <c r="S269" s="35" t="s">
        <v>1972</v>
      </c>
      <c r="T269" s="35" t="s">
        <v>1998</v>
      </c>
      <c r="U269" s="36" t="s">
        <v>1673</v>
      </c>
      <c r="V269" s="35" t="s">
        <v>1674</v>
      </c>
      <c r="W269" s="35" t="s">
        <v>1673</v>
      </c>
      <c r="X269" s="35" t="s">
        <v>1799</v>
      </c>
      <c r="Y269" s="496"/>
      <c r="Z269" s="151" t="s">
        <v>276</v>
      </c>
      <c r="AA269" s="152">
        <v>3375</v>
      </c>
      <c r="AB269" s="491" t="s">
        <v>1944</v>
      </c>
      <c r="AC269" s="490" t="s">
        <v>277</v>
      </c>
    </row>
    <row r="270" spans="2:29" ht="12.75">
      <c r="B270" s="47" t="s">
        <v>1972</v>
      </c>
      <c r="C270" s="47" t="s">
        <v>1998</v>
      </c>
      <c r="D270" s="48" t="s">
        <v>1673</v>
      </c>
      <c r="E270" s="47" t="s">
        <v>1674</v>
      </c>
      <c r="F270" s="47" t="s">
        <v>1673</v>
      </c>
      <c r="G270" s="47" t="s">
        <v>1799</v>
      </c>
      <c r="H270" s="49">
        <v>7.9100000000000004E-4</v>
      </c>
      <c r="I270" s="47">
        <v>0.85</v>
      </c>
      <c r="J270" s="78">
        <v>1.0078760382881427</v>
      </c>
      <c r="K270" s="80" t="s">
        <v>274</v>
      </c>
      <c r="L270" s="510"/>
      <c r="M270" s="62">
        <v>3.4000000000000002E-2</v>
      </c>
      <c r="N270" s="80" t="s">
        <v>276</v>
      </c>
      <c r="O270" s="513"/>
      <c r="P270" s="47" t="s">
        <v>1944</v>
      </c>
      <c r="Q270" s="236" t="s">
        <v>277</v>
      </c>
      <c r="S270" s="35" t="s">
        <v>1972</v>
      </c>
      <c r="T270" s="35" t="s">
        <v>1998</v>
      </c>
      <c r="U270" s="36" t="s">
        <v>1673</v>
      </c>
      <c r="V270" s="35" t="s">
        <v>1674</v>
      </c>
      <c r="W270" s="35" t="s">
        <v>1673</v>
      </c>
      <c r="X270" s="35" t="s">
        <v>1799</v>
      </c>
      <c r="Y270" s="496"/>
      <c r="Z270" s="153" t="s">
        <v>274</v>
      </c>
      <c r="AA270" s="154">
        <v>5625</v>
      </c>
      <c r="AB270" s="491"/>
      <c r="AC270" s="490"/>
    </row>
    <row r="271" spans="2:29" ht="12.75">
      <c r="B271" s="47" t="s">
        <v>1972</v>
      </c>
      <c r="C271" s="47" t="s">
        <v>1998</v>
      </c>
      <c r="D271" s="48" t="s">
        <v>1673</v>
      </c>
      <c r="E271" s="47" t="s">
        <v>1674</v>
      </c>
      <c r="F271" s="47" t="s">
        <v>1673</v>
      </c>
      <c r="G271" s="47" t="s">
        <v>1799</v>
      </c>
      <c r="H271" s="49">
        <v>7.9100000000000004E-4</v>
      </c>
      <c r="I271" s="47">
        <v>0.85</v>
      </c>
      <c r="J271" s="78">
        <v>1.0078760382881427</v>
      </c>
      <c r="K271" s="80" t="s">
        <v>276</v>
      </c>
      <c r="L271" s="510"/>
      <c r="M271" s="62">
        <v>3.4000000000000002E-2</v>
      </c>
      <c r="N271" s="80" t="s">
        <v>276</v>
      </c>
      <c r="O271" s="513"/>
      <c r="P271" s="47" t="s">
        <v>1945</v>
      </c>
      <c r="Q271" s="237" t="s">
        <v>256</v>
      </c>
      <c r="S271" s="35" t="s">
        <v>1972</v>
      </c>
      <c r="T271" s="35" t="s">
        <v>1998</v>
      </c>
      <c r="U271" s="36" t="s">
        <v>1673</v>
      </c>
      <c r="V271" s="35" t="s">
        <v>1674</v>
      </c>
      <c r="W271" s="35" t="s">
        <v>1673</v>
      </c>
      <c r="X271" s="35" t="s">
        <v>1799</v>
      </c>
      <c r="Y271" s="496"/>
      <c r="Z271" s="149" t="s">
        <v>276</v>
      </c>
      <c r="AA271" s="150">
        <v>5625</v>
      </c>
      <c r="AB271" s="35" t="s">
        <v>1946</v>
      </c>
      <c r="AC271" s="239" t="s">
        <v>256</v>
      </c>
    </row>
    <row r="272" spans="2:29" ht="12.75">
      <c r="B272" s="50" t="s">
        <v>1972</v>
      </c>
      <c r="C272" s="50" t="s">
        <v>1998</v>
      </c>
      <c r="D272" s="51" t="s">
        <v>1673</v>
      </c>
      <c r="E272" s="50" t="s">
        <v>1673</v>
      </c>
      <c r="F272" s="50" t="s">
        <v>1674</v>
      </c>
      <c r="G272" s="50" t="s">
        <v>1778</v>
      </c>
      <c r="H272" s="52" t="s">
        <v>2016</v>
      </c>
      <c r="I272" s="50">
        <v>0.85</v>
      </c>
      <c r="J272" s="78">
        <v>0.58808073785964321</v>
      </c>
      <c r="K272" s="85" t="s">
        <v>274</v>
      </c>
      <c r="L272" s="523">
        <v>1.8305478482016908</v>
      </c>
      <c r="M272" s="62">
        <v>4.3999999999999997E-2</v>
      </c>
      <c r="N272" s="85" t="s">
        <v>274</v>
      </c>
      <c r="O272" s="521" t="s">
        <v>2000</v>
      </c>
      <c r="P272" s="50" t="s">
        <v>1523</v>
      </c>
      <c r="Q272" s="235" t="s">
        <v>275</v>
      </c>
      <c r="S272" s="50" t="s">
        <v>1972</v>
      </c>
      <c r="T272" s="50" t="s">
        <v>1998</v>
      </c>
      <c r="U272" s="51" t="s">
        <v>1673</v>
      </c>
      <c r="V272" s="50" t="s">
        <v>1673</v>
      </c>
      <c r="W272" s="50" t="s">
        <v>1674</v>
      </c>
      <c r="X272" s="50" t="s">
        <v>1778</v>
      </c>
      <c r="Y272" s="502">
        <v>5000</v>
      </c>
      <c r="Z272" s="161" t="s">
        <v>274</v>
      </c>
      <c r="AA272" s="162">
        <v>3750</v>
      </c>
      <c r="AB272" s="50" t="s">
        <v>1943</v>
      </c>
      <c r="AC272" s="238" t="s">
        <v>275</v>
      </c>
    </row>
    <row r="273" spans="2:29" ht="12.75">
      <c r="B273" s="50" t="s">
        <v>1972</v>
      </c>
      <c r="C273" s="50" t="s">
        <v>1998</v>
      </c>
      <c r="D273" s="51" t="s">
        <v>1673</v>
      </c>
      <c r="E273" s="50" t="s">
        <v>1673</v>
      </c>
      <c r="F273" s="50" t="s">
        <v>1674</v>
      </c>
      <c r="G273" s="50" t="s">
        <v>1778</v>
      </c>
      <c r="H273" s="52" t="s">
        <v>2016</v>
      </c>
      <c r="I273" s="50">
        <v>0.85</v>
      </c>
      <c r="J273" s="78">
        <v>0.58808073785964321</v>
      </c>
      <c r="K273" s="85" t="s">
        <v>276</v>
      </c>
      <c r="L273" s="523"/>
      <c r="M273" s="62">
        <v>4.3999999999999997E-2</v>
      </c>
      <c r="N273" s="85" t="s">
        <v>274</v>
      </c>
      <c r="O273" s="521"/>
      <c r="P273" s="50" t="s">
        <v>1944</v>
      </c>
      <c r="Q273" s="236" t="s">
        <v>277</v>
      </c>
      <c r="S273" s="50" t="s">
        <v>1972</v>
      </c>
      <c r="T273" s="50" t="s">
        <v>1998</v>
      </c>
      <c r="U273" s="51" t="s">
        <v>1673</v>
      </c>
      <c r="V273" s="50" t="s">
        <v>1673</v>
      </c>
      <c r="W273" s="50" t="s">
        <v>1674</v>
      </c>
      <c r="X273" s="50" t="s">
        <v>1778</v>
      </c>
      <c r="Y273" s="502"/>
      <c r="Z273" s="163" t="s">
        <v>276</v>
      </c>
      <c r="AA273" s="164">
        <v>3750</v>
      </c>
      <c r="AB273" s="529" t="s">
        <v>1944</v>
      </c>
      <c r="AC273" s="490" t="s">
        <v>277</v>
      </c>
    </row>
    <row r="274" spans="2:29" ht="12.75">
      <c r="B274" s="50" t="s">
        <v>1972</v>
      </c>
      <c r="C274" s="50" t="s">
        <v>1998</v>
      </c>
      <c r="D274" s="51" t="s">
        <v>1673</v>
      </c>
      <c r="E274" s="50" t="s">
        <v>1673</v>
      </c>
      <c r="F274" s="50" t="s">
        <v>1674</v>
      </c>
      <c r="G274" s="50" t="s">
        <v>1778</v>
      </c>
      <c r="H274" s="52">
        <v>4.2200000000000001E-4</v>
      </c>
      <c r="I274" s="50">
        <v>0.85</v>
      </c>
      <c r="J274" s="78">
        <v>0.58808073785964321</v>
      </c>
      <c r="K274" s="85" t="s">
        <v>274</v>
      </c>
      <c r="L274" s="523"/>
      <c r="M274" s="62">
        <v>4.3999999999999997E-2</v>
      </c>
      <c r="N274" s="85" t="s">
        <v>276</v>
      </c>
      <c r="O274" s="521"/>
      <c r="P274" s="50" t="s">
        <v>1944</v>
      </c>
      <c r="Q274" s="236" t="s">
        <v>277</v>
      </c>
      <c r="S274" s="50" t="s">
        <v>1972</v>
      </c>
      <c r="T274" s="50" t="s">
        <v>1998</v>
      </c>
      <c r="U274" s="51" t="s">
        <v>1673</v>
      </c>
      <c r="V274" s="50" t="s">
        <v>1673</v>
      </c>
      <c r="W274" s="50" t="s">
        <v>1674</v>
      </c>
      <c r="X274" s="50" t="s">
        <v>1778</v>
      </c>
      <c r="Y274" s="502"/>
      <c r="Z274" s="165" t="s">
        <v>274</v>
      </c>
      <c r="AA274" s="166">
        <v>6250</v>
      </c>
      <c r="AB274" s="529"/>
      <c r="AC274" s="490"/>
    </row>
    <row r="275" spans="2:29" ht="12.75">
      <c r="B275" s="50" t="s">
        <v>1972</v>
      </c>
      <c r="C275" s="50" t="s">
        <v>1998</v>
      </c>
      <c r="D275" s="51" t="s">
        <v>1673</v>
      </c>
      <c r="E275" s="50" t="s">
        <v>1673</v>
      </c>
      <c r="F275" s="50" t="s">
        <v>1674</v>
      </c>
      <c r="G275" s="50" t="s">
        <v>1778</v>
      </c>
      <c r="H275" s="52">
        <v>4.2200000000000001E-4</v>
      </c>
      <c r="I275" s="50">
        <v>0.85</v>
      </c>
      <c r="J275" s="78">
        <v>0.58808073785964321</v>
      </c>
      <c r="K275" s="85" t="s">
        <v>276</v>
      </c>
      <c r="L275" s="523"/>
      <c r="M275" s="62">
        <v>4.3999999999999997E-2</v>
      </c>
      <c r="N275" s="85" t="s">
        <v>276</v>
      </c>
      <c r="O275" s="521"/>
      <c r="P275" s="50" t="s">
        <v>1945</v>
      </c>
      <c r="Q275" s="237" t="s">
        <v>256</v>
      </c>
      <c r="S275" s="50" t="s">
        <v>1972</v>
      </c>
      <c r="T275" s="50" t="s">
        <v>1998</v>
      </c>
      <c r="U275" s="51" t="s">
        <v>1673</v>
      </c>
      <c r="V275" s="50" t="s">
        <v>1673</v>
      </c>
      <c r="W275" s="50" t="s">
        <v>1674</v>
      </c>
      <c r="X275" s="50" t="s">
        <v>1778</v>
      </c>
      <c r="Y275" s="502"/>
      <c r="Z275" s="161" t="s">
        <v>276</v>
      </c>
      <c r="AA275" s="162">
        <v>6250</v>
      </c>
      <c r="AB275" s="50" t="s">
        <v>1946</v>
      </c>
      <c r="AC275" s="239" t="s">
        <v>256</v>
      </c>
    </row>
    <row r="276" spans="2:29" ht="12.75">
      <c r="B276" s="47" t="s">
        <v>1972</v>
      </c>
      <c r="C276" s="47" t="s">
        <v>1998</v>
      </c>
      <c r="D276" s="48" t="s">
        <v>1673</v>
      </c>
      <c r="E276" s="47" t="s">
        <v>1673</v>
      </c>
      <c r="F276" s="47" t="s">
        <v>1674</v>
      </c>
      <c r="G276" s="47" t="s">
        <v>1781</v>
      </c>
      <c r="H276" s="49" t="s">
        <v>2017</v>
      </c>
      <c r="I276" s="47">
        <v>0.85</v>
      </c>
      <c r="J276" s="78">
        <v>0.51352120683593283</v>
      </c>
      <c r="K276" s="80" t="s">
        <v>274</v>
      </c>
      <c r="L276" s="510">
        <v>1.8305478482016908</v>
      </c>
      <c r="M276" s="62">
        <v>3.9E-2</v>
      </c>
      <c r="N276" s="80" t="s">
        <v>274</v>
      </c>
      <c r="O276" s="513" t="s">
        <v>2000</v>
      </c>
      <c r="P276" s="47" t="s">
        <v>1523</v>
      </c>
      <c r="Q276" s="235" t="s">
        <v>275</v>
      </c>
      <c r="S276" s="35" t="s">
        <v>1972</v>
      </c>
      <c r="T276" s="35" t="s">
        <v>1998</v>
      </c>
      <c r="U276" s="36" t="s">
        <v>1673</v>
      </c>
      <c r="V276" s="35" t="s">
        <v>1673</v>
      </c>
      <c r="W276" s="35" t="s">
        <v>1674</v>
      </c>
      <c r="X276" s="35" t="s">
        <v>1781</v>
      </c>
      <c r="Y276" s="496">
        <v>3500</v>
      </c>
      <c r="Z276" s="149" t="s">
        <v>274</v>
      </c>
      <c r="AA276" s="150">
        <v>2625</v>
      </c>
      <c r="AB276" s="35" t="s">
        <v>1943</v>
      </c>
      <c r="AC276" s="238" t="s">
        <v>275</v>
      </c>
    </row>
    <row r="277" spans="2:29" ht="12.75">
      <c r="B277" s="47" t="s">
        <v>1972</v>
      </c>
      <c r="C277" s="47" t="s">
        <v>1998</v>
      </c>
      <c r="D277" s="48" t="s">
        <v>1673</v>
      </c>
      <c r="E277" s="47" t="s">
        <v>1673</v>
      </c>
      <c r="F277" s="47" t="s">
        <v>1674</v>
      </c>
      <c r="G277" s="47" t="s">
        <v>1781</v>
      </c>
      <c r="H277" s="49" t="s">
        <v>2017</v>
      </c>
      <c r="I277" s="47">
        <v>0.85</v>
      </c>
      <c r="J277" s="78">
        <v>0.51352120683593283</v>
      </c>
      <c r="K277" s="80" t="s">
        <v>276</v>
      </c>
      <c r="L277" s="510"/>
      <c r="M277" s="62">
        <v>3.9E-2</v>
      </c>
      <c r="N277" s="80" t="s">
        <v>274</v>
      </c>
      <c r="O277" s="513"/>
      <c r="P277" s="47" t="s">
        <v>1944</v>
      </c>
      <c r="Q277" s="236" t="s">
        <v>277</v>
      </c>
      <c r="S277" s="35" t="s">
        <v>1972</v>
      </c>
      <c r="T277" s="35" t="s">
        <v>1998</v>
      </c>
      <c r="U277" s="36" t="s">
        <v>1673</v>
      </c>
      <c r="V277" s="35" t="s">
        <v>1673</v>
      </c>
      <c r="W277" s="35" t="s">
        <v>1674</v>
      </c>
      <c r="X277" s="35" t="s">
        <v>1781</v>
      </c>
      <c r="Y277" s="496"/>
      <c r="Z277" s="151" t="s">
        <v>276</v>
      </c>
      <c r="AA277" s="152">
        <v>2625</v>
      </c>
      <c r="AB277" s="491" t="s">
        <v>1944</v>
      </c>
      <c r="AC277" s="490" t="s">
        <v>277</v>
      </c>
    </row>
    <row r="278" spans="2:29" ht="12.75">
      <c r="B278" s="47" t="s">
        <v>1972</v>
      </c>
      <c r="C278" s="47" t="s">
        <v>1998</v>
      </c>
      <c r="D278" s="48" t="s">
        <v>1673</v>
      </c>
      <c r="E278" s="47" t="s">
        <v>1673</v>
      </c>
      <c r="F278" s="47" t="s">
        <v>1674</v>
      </c>
      <c r="G278" s="47" t="s">
        <v>1781</v>
      </c>
      <c r="H278" s="49">
        <v>4.9900000000000009E-4</v>
      </c>
      <c r="I278" s="47">
        <v>0.85</v>
      </c>
      <c r="J278" s="78">
        <v>0.51352120683593283</v>
      </c>
      <c r="K278" s="80" t="s">
        <v>274</v>
      </c>
      <c r="L278" s="510"/>
      <c r="M278" s="62">
        <v>3.9E-2</v>
      </c>
      <c r="N278" s="80" t="s">
        <v>276</v>
      </c>
      <c r="O278" s="513"/>
      <c r="P278" s="47" t="s">
        <v>1944</v>
      </c>
      <c r="Q278" s="236" t="s">
        <v>277</v>
      </c>
      <c r="S278" s="35" t="s">
        <v>1972</v>
      </c>
      <c r="T278" s="35" t="s">
        <v>1998</v>
      </c>
      <c r="U278" s="36" t="s">
        <v>1673</v>
      </c>
      <c r="V278" s="35" t="s">
        <v>1673</v>
      </c>
      <c r="W278" s="35" t="s">
        <v>1674</v>
      </c>
      <c r="X278" s="35" t="s">
        <v>1781</v>
      </c>
      <c r="Y278" s="496"/>
      <c r="Z278" s="153" t="s">
        <v>274</v>
      </c>
      <c r="AA278" s="154">
        <v>4375</v>
      </c>
      <c r="AB278" s="491"/>
      <c r="AC278" s="490"/>
    </row>
    <row r="279" spans="2:29" ht="12.75">
      <c r="B279" s="47" t="s">
        <v>1972</v>
      </c>
      <c r="C279" s="47" t="s">
        <v>1998</v>
      </c>
      <c r="D279" s="48" t="s">
        <v>1673</v>
      </c>
      <c r="E279" s="47" t="s">
        <v>1673</v>
      </c>
      <c r="F279" s="47" t="s">
        <v>1674</v>
      </c>
      <c r="G279" s="47" t="s">
        <v>1781</v>
      </c>
      <c r="H279" s="49">
        <v>4.9900000000000009E-4</v>
      </c>
      <c r="I279" s="47">
        <v>0.85</v>
      </c>
      <c r="J279" s="78">
        <v>0.51352120683593283</v>
      </c>
      <c r="K279" s="80" t="s">
        <v>276</v>
      </c>
      <c r="L279" s="510"/>
      <c r="M279" s="62">
        <v>3.9E-2</v>
      </c>
      <c r="N279" s="80" t="s">
        <v>276</v>
      </c>
      <c r="O279" s="513"/>
      <c r="P279" s="47" t="s">
        <v>1945</v>
      </c>
      <c r="Q279" s="237" t="s">
        <v>256</v>
      </c>
      <c r="S279" s="35" t="s">
        <v>1972</v>
      </c>
      <c r="T279" s="35" t="s">
        <v>1998</v>
      </c>
      <c r="U279" s="36" t="s">
        <v>1673</v>
      </c>
      <c r="V279" s="35" t="s">
        <v>1673</v>
      </c>
      <c r="W279" s="35" t="s">
        <v>1674</v>
      </c>
      <c r="X279" s="35" t="s">
        <v>1781</v>
      </c>
      <c r="Y279" s="496"/>
      <c r="Z279" s="149" t="s">
        <v>276</v>
      </c>
      <c r="AA279" s="150">
        <v>4375</v>
      </c>
      <c r="AB279" s="35" t="s">
        <v>1946</v>
      </c>
      <c r="AC279" s="239" t="s">
        <v>256</v>
      </c>
    </row>
    <row r="280" spans="2:29" ht="12.75">
      <c r="B280" s="50" t="s">
        <v>1972</v>
      </c>
      <c r="C280" s="50" t="s">
        <v>1998</v>
      </c>
      <c r="D280" s="51" t="s">
        <v>1673</v>
      </c>
      <c r="E280" s="50" t="s">
        <v>1673</v>
      </c>
      <c r="F280" s="50" t="s">
        <v>1674</v>
      </c>
      <c r="G280" s="50" t="s">
        <v>1799</v>
      </c>
      <c r="H280" s="52" t="s">
        <v>2018</v>
      </c>
      <c r="I280" s="50">
        <v>0.85</v>
      </c>
      <c r="J280" s="78">
        <v>0.70570820466935114</v>
      </c>
      <c r="K280" s="85" t="s">
        <v>274</v>
      </c>
      <c r="L280" s="523">
        <v>1.8305478482016908</v>
      </c>
      <c r="M280" s="62">
        <v>3.9E-2</v>
      </c>
      <c r="N280" s="85" t="s">
        <v>274</v>
      </c>
      <c r="O280" s="521" t="s">
        <v>2000</v>
      </c>
      <c r="P280" s="50" t="s">
        <v>1523</v>
      </c>
      <c r="Q280" s="235" t="s">
        <v>275</v>
      </c>
      <c r="S280" s="50" t="s">
        <v>1972</v>
      </c>
      <c r="T280" s="50" t="s">
        <v>1998</v>
      </c>
      <c r="U280" s="51" t="s">
        <v>1673</v>
      </c>
      <c r="V280" s="50" t="s">
        <v>1673</v>
      </c>
      <c r="W280" s="50" t="s">
        <v>1674</v>
      </c>
      <c r="X280" s="50" t="s">
        <v>1799</v>
      </c>
      <c r="Y280" s="502">
        <v>5500</v>
      </c>
      <c r="Z280" s="161" t="s">
        <v>274</v>
      </c>
      <c r="AA280" s="162">
        <v>4125</v>
      </c>
      <c r="AB280" s="50" t="s">
        <v>1943</v>
      </c>
      <c r="AC280" s="238" t="s">
        <v>275</v>
      </c>
    </row>
    <row r="281" spans="2:29" ht="12.75">
      <c r="B281" s="50" t="s">
        <v>1972</v>
      </c>
      <c r="C281" s="50" t="s">
        <v>1998</v>
      </c>
      <c r="D281" s="51" t="s">
        <v>1673</v>
      </c>
      <c r="E281" s="50" t="s">
        <v>1673</v>
      </c>
      <c r="F281" s="50" t="s">
        <v>1674</v>
      </c>
      <c r="G281" s="50" t="s">
        <v>1799</v>
      </c>
      <c r="H281" s="52" t="s">
        <v>2018</v>
      </c>
      <c r="I281" s="50">
        <v>0.85</v>
      </c>
      <c r="J281" s="78">
        <v>0.70570820466935114</v>
      </c>
      <c r="K281" s="85" t="s">
        <v>276</v>
      </c>
      <c r="L281" s="523"/>
      <c r="M281" s="62">
        <v>3.9E-2</v>
      </c>
      <c r="N281" s="85" t="s">
        <v>274</v>
      </c>
      <c r="O281" s="521"/>
      <c r="P281" s="50" t="s">
        <v>1944</v>
      </c>
      <c r="Q281" s="236" t="s">
        <v>277</v>
      </c>
      <c r="S281" s="50" t="s">
        <v>1972</v>
      </c>
      <c r="T281" s="50" t="s">
        <v>1998</v>
      </c>
      <c r="U281" s="51" t="s">
        <v>1673</v>
      </c>
      <c r="V281" s="50" t="s">
        <v>1673</v>
      </c>
      <c r="W281" s="50" t="s">
        <v>1674</v>
      </c>
      <c r="X281" s="50" t="s">
        <v>1799</v>
      </c>
      <c r="Y281" s="502"/>
      <c r="Z281" s="163" t="s">
        <v>276</v>
      </c>
      <c r="AA281" s="164">
        <v>4125</v>
      </c>
      <c r="AB281" s="529" t="s">
        <v>1944</v>
      </c>
      <c r="AC281" s="490" t="s">
        <v>277</v>
      </c>
    </row>
    <row r="282" spans="2:29" ht="12.75">
      <c r="B282" s="50" t="s">
        <v>1972</v>
      </c>
      <c r="C282" s="50" t="s">
        <v>1998</v>
      </c>
      <c r="D282" s="51" t="s">
        <v>1673</v>
      </c>
      <c r="E282" s="50" t="s">
        <v>1673</v>
      </c>
      <c r="F282" s="50" t="s">
        <v>1674</v>
      </c>
      <c r="G282" s="50" t="s">
        <v>1799</v>
      </c>
      <c r="H282" s="52">
        <v>4.6700000000000002E-4</v>
      </c>
      <c r="I282" s="50">
        <v>0.85</v>
      </c>
      <c r="J282" s="78">
        <v>0.70570820466935114</v>
      </c>
      <c r="K282" s="85" t="s">
        <v>274</v>
      </c>
      <c r="L282" s="523"/>
      <c r="M282" s="62">
        <v>3.9E-2</v>
      </c>
      <c r="N282" s="85" t="s">
        <v>276</v>
      </c>
      <c r="O282" s="521"/>
      <c r="P282" s="50" t="s">
        <v>1944</v>
      </c>
      <c r="Q282" s="236" t="s">
        <v>277</v>
      </c>
      <c r="S282" s="50" t="s">
        <v>1972</v>
      </c>
      <c r="T282" s="50" t="s">
        <v>1998</v>
      </c>
      <c r="U282" s="51" t="s">
        <v>1673</v>
      </c>
      <c r="V282" s="50" t="s">
        <v>1673</v>
      </c>
      <c r="W282" s="50" t="s">
        <v>1674</v>
      </c>
      <c r="X282" s="50" t="s">
        <v>1799</v>
      </c>
      <c r="Y282" s="502"/>
      <c r="Z282" s="165" t="s">
        <v>274</v>
      </c>
      <c r="AA282" s="166">
        <v>6875</v>
      </c>
      <c r="AB282" s="529"/>
      <c r="AC282" s="490"/>
    </row>
    <row r="283" spans="2:29" ht="12.75">
      <c r="B283" s="50" t="s">
        <v>1972</v>
      </c>
      <c r="C283" s="50" t="s">
        <v>1998</v>
      </c>
      <c r="D283" s="51" t="s">
        <v>1673</v>
      </c>
      <c r="E283" s="50" t="s">
        <v>1673</v>
      </c>
      <c r="F283" s="50" t="s">
        <v>1674</v>
      </c>
      <c r="G283" s="50" t="s">
        <v>1799</v>
      </c>
      <c r="H283" s="52">
        <v>4.6700000000000002E-4</v>
      </c>
      <c r="I283" s="50">
        <v>0.85</v>
      </c>
      <c r="J283" s="78">
        <v>0.70570820466935114</v>
      </c>
      <c r="K283" s="85" t="s">
        <v>276</v>
      </c>
      <c r="L283" s="523"/>
      <c r="M283" s="62">
        <v>3.9E-2</v>
      </c>
      <c r="N283" s="85" t="s">
        <v>276</v>
      </c>
      <c r="O283" s="521"/>
      <c r="P283" s="50" t="s">
        <v>1945</v>
      </c>
      <c r="Q283" s="237" t="s">
        <v>256</v>
      </c>
      <c r="S283" s="50" t="s">
        <v>1972</v>
      </c>
      <c r="T283" s="50" t="s">
        <v>1998</v>
      </c>
      <c r="U283" s="51" t="s">
        <v>1673</v>
      </c>
      <c r="V283" s="50" t="s">
        <v>1673</v>
      </c>
      <c r="W283" s="50" t="s">
        <v>1674</v>
      </c>
      <c r="X283" s="50" t="s">
        <v>1799</v>
      </c>
      <c r="Y283" s="502"/>
      <c r="Z283" s="161" t="s">
        <v>276</v>
      </c>
      <c r="AA283" s="162">
        <v>6875</v>
      </c>
      <c r="AB283" s="50" t="s">
        <v>1946</v>
      </c>
      <c r="AC283" s="239" t="s">
        <v>256</v>
      </c>
    </row>
    <row r="284" spans="2:29" ht="12.75">
      <c r="B284" s="47" t="s">
        <v>1972</v>
      </c>
      <c r="C284" s="47" t="s">
        <v>1998</v>
      </c>
      <c r="D284" s="48" t="s">
        <v>1673</v>
      </c>
      <c r="E284" s="47" t="s">
        <v>1673</v>
      </c>
      <c r="F284" s="47" t="s">
        <v>1673</v>
      </c>
      <c r="G284" s="47" t="s">
        <v>1778</v>
      </c>
      <c r="H284" s="49" t="s">
        <v>2019</v>
      </c>
      <c r="I284" s="47">
        <v>0.85</v>
      </c>
      <c r="J284" s="78">
        <v>0.39298286274033034</v>
      </c>
      <c r="K284" s="80" t="s">
        <v>274</v>
      </c>
      <c r="L284" s="510">
        <v>1.8305478482016908</v>
      </c>
      <c r="M284" s="62">
        <v>4.3999999999999997E-2</v>
      </c>
      <c r="N284" s="80" t="s">
        <v>274</v>
      </c>
      <c r="O284" s="513" t="s">
        <v>2000</v>
      </c>
      <c r="P284" s="47" t="s">
        <v>1523</v>
      </c>
      <c r="Q284" s="235" t="s">
        <v>275</v>
      </c>
      <c r="S284" s="35" t="s">
        <v>1972</v>
      </c>
      <c r="T284" s="35" t="s">
        <v>1998</v>
      </c>
      <c r="U284" s="36" t="s">
        <v>1673</v>
      </c>
      <c r="V284" s="35" t="s">
        <v>1673</v>
      </c>
      <c r="W284" s="35" t="s">
        <v>1673</v>
      </c>
      <c r="X284" s="35" t="s">
        <v>1778</v>
      </c>
      <c r="Y284" s="496">
        <v>5000</v>
      </c>
      <c r="Z284" s="149" t="s">
        <v>274</v>
      </c>
      <c r="AA284" s="150">
        <v>3750</v>
      </c>
      <c r="AB284" s="35" t="s">
        <v>1943</v>
      </c>
      <c r="AC284" s="238" t="s">
        <v>275</v>
      </c>
    </row>
    <row r="285" spans="2:29" ht="12.75">
      <c r="B285" s="47" t="s">
        <v>1972</v>
      </c>
      <c r="C285" s="47" t="s">
        <v>1998</v>
      </c>
      <c r="D285" s="48" t="s">
        <v>1673</v>
      </c>
      <c r="E285" s="47" t="s">
        <v>1673</v>
      </c>
      <c r="F285" s="47" t="s">
        <v>1673</v>
      </c>
      <c r="G285" s="47" t="s">
        <v>1778</v>
      </c>
      <c r="H285" s="49" t="s">
        <v>2019</v>
      </c>
      <c r="I285" s="47">
        <v>0.85</v>
      </c>
      <c r="J285" s="78">
        <v>0.39298286274033034</v>
      </c>
      <c r="K285" s="80" t="s">
        <v>276</v>
      </c>
      <c r="L285" s="510"/>
      <c r="M285" s="62">
        <v>4.3999999999999997E-2</v>
      </c>
      <c r="N285" s="80" t="s">
        <v>274</v>
      </c>
      <c r="O285" s="513"/>
      <c r="P285" s="47" t="s">
        <v>1944</v>
      </c>
      <c r="Q285" s="236" t="s">
        <v>277</v>
      </c>
      <c r="S285" s="35" t="s">
        <v>1972</v>
      </c>
      <c r="T285" s="35" t="s">
        <v>1998</v>
      </c>
      <c r="U285" s="36" t="s">
        <v>1673</v>
      </c>
      <c r="V285" s="35" t="s">
        <v>1673</v>
      </c>
      <c r="W285" s="35" t="s">
        <v>1673</v>
      </c>
      <c r="X285" s="35" t="s">
        <v>1778</v>
      </c>
      <c r="Y285" s="496"/>
      <c r="Z285" s="151" t="s">
        <v>276</v>
      </c>
      <c r="AA285" s="152">
        <v>3750</v>
      </c>
      <c r="AB285" s="491" t="s">
        <v>1944</v>
      </c>
      <c r="AC285" s="490" t="s">
        <v>277</v>
      </c>
    </row>
    <row r="286" spans="2:29" ht="12.75">
      <c r="B286" s="47" t="s">
        <v>1972</v>
      </c>
      <c r="C286" s="47" t="s">
        <v>1998</v>
      </c>
      <c r="D286" s="48" t="s">
        <v>1673</v>
      </c>
      <c r="E286" s="47" t="s">
        <v>1673</v>
      </c>
      <c r="F286" s="47" t="s">
        <v>1673</v>
      </c>
      <c r="G286" s="47" t="s">
        <v>1778</v>
      </c>
      <c r="H286" s="49">
        <v>2.8200000000000002E-4</v>
      </c>
      <c r="I286" s="47">
        <v>0.85</v>
      </c>
      <c r="J286" s="78">
        <v>0.39298286274033034</v>
      </c>
      <c r="K286" s="80" t="s">
        <v>274</v>
      </c>
      <c r="L286" s="510"/>
      <c r="M286" s="62">
        <v>4.3999999999999997E-2</v>
      </c>
      <c r="N286" s="80" t="s">
        <v>276</v>
      </c>
      <c r="O286" s="513"/>
      <c r="P286" s="47" t="s">
        <v>1944</v>
      </c>
      <c r="Q286" s="236" t="s">
        <v>277</v>
      </c>
      <c r="S286" s="35" t="s">
        <v>1972</v>
      </c>
      <c r="T286" s="35" t="s">
        <v>1998</v>
      </c>
      <c r="U286" s="36" t="s">
        <v>1673</v>
      </c>
      <c r="V286" s="35" t="s">
        <v>1673</v>
      </c>
      <c r="W286" s="35" t="s">
        <v>1673</v>
      </c>
      <c r="X286" s="35" t="s">
        <v>1778</v>
      </c>
      <c r="Y286" s="496"/>
      <c r="Z286" s="153" t="s">
        <v>274</v>
      </c>
      <c r="AA286" s="154">
        <v>6250</v>
      </c>
      <c r="AB286" s="491"/>
      <c r="AC286" s="490"/>
    </row>
    <row r="287" spans="2:29" ht="12.75">
      <c r="B287" s="47" t="s">
        <v>1972</v>
      </c>
      <c r="C287" s="47" t="s">
        <v>1998</v>
      </c>
      <c r="D287" s="48" t="s">
        <v>1673</v>
      </c>
      <c r="E287" s="47" t="s">
        <v>1673</v>
      </c>
      <c r="F287" s="47" t="s">
        <v>1673</v>
      </c>
      <c r="G287" s="47" t="s">
        <v>1778</v>
      </c>
      <c r="H287" s="49">
        <v>2.8200000000000002E-4</v>
      </c>
      <c r="I287" s="47">
        <v>0.85</v>
      </c>
      <c r="J287" s="78">
        <v>0.39298286274033034</v>
      </c>
      <c r="K287" s="80" t="s">
        <v>276</v>
      </c>
      <c r="L287" s="510"/>
      <c r="M287" s="62">
        <v>4.3999999999999997E-2</v>
      </c>
      <c r="N287" s="80" t="s">
        <v>276</v>
      </c>
      <c r="O287" s="513"/>
      <c r="P287" s="47" t="s">
        <v>1945</v>
      </c>
      <c r="Q287" s="237" t="s">
        <v>256</v>
      </c>
      <c r="S287" s="35" t="s">
        <v>1972</v>
      </c>
      <c r="T287" s="35" t="s">
        <v>1998</v>
      </c>
      <c r="U287" s="36" t="s">
        <v>1673</v>
      </c>
      <c r="V287" s="35" t="s">
        <v>1673</v>
      </c>
      <c r="W287" s="35" t="s">
        <v>1673</v>
      </c>
      <c r="X287" s="35" t="s">
        <v>1778</v>
      </c>
      <c r="Y287" s="496"/>
      <c r="Z287" s="149" t="s">
        <v>276</v>
      </c>
      <c r="AA287" s="150">
        <v>6250</v>
      </c>
      <c r="AB287" s="35" t="s">
        <v>1946</v>
      </c>
      <c r="AC287" s="239" t="s">
        <v>256</v>
      </c>
    </row>
    <row r="288" spans="2:29" ht="12.75">
      <c r="B288" s="50" t="s">
        <v>1972</v>
      </c>
      <c r="C288" s="50" t="s">
        <v>1998</v>
      </c>
      <c r="D288" s="51" t="s">
        <v>1673</v>
      </c>
      <c r="E288" s="50" t="s">
        <v>1673</v>
      </c>
      <c r="F288" s="50" t="s">
        <v>1673</v>
      </c>
      <c r="G288" s="50" t="s">
        <v>1781</v>
      </c>
      <c r="H288" s="52" t="s">
        <v>2020</v>
      </c>
      <c r="I288" s="50">
        <v>0.85</v>
      </c>
      <c r="J288" s="78">
        <v>0.3437196053771574</v>
      </c>
      <c r="K288" s="85" t="s">
        <v>274</v>
      </c>
      <c r="L288" s="523">
        <v>1.8305478482016908</v>
      </c>
      <c r="M288" s="62">
        <v>3.9E-2</v>
      </c>
      <c r="N288" s="85" t="s">
        <v>274</v>
      </c>
      <c r="O288" s="521" t="s">
        <v>2000</v>
      </c>
      <c r="P288" s="50" t="s">
        <v>1523</v>
      </c>
      <c r="Q288" s="235" t="s">
        <v>275</v>
      </c>
      <c r="S288" s="50" t="s">
        <v>1972</v>
      </c>
      <c r="T288" s="50" t="s">
        <v>1998</v>
      </c>
      <c r="U288" s="51" t="s">
        <v>1673</v>
      </c>
      <c r="V288" s="50" t="s">
        <v>1673</v>
      </c>
      <c r="W288" s="50" t="s">
        <v>1673</v>
      </c>
      <c r="X288" s="50" t="s">
        <v>1781</v>
      </c>
      <c r="Y288" s="502">
        <v>3500</v>
      </c>
      <c r="Z288" s="161" t="s">
        <v>274</v>
      </c>
      <c r="AA288" s="162">
        <v>2625</v>
      </c>
      <c r="AB288" s="50" t="s">
        <v>1943</v>
      </c>
      <c r="AC288" s="238" t="s">
        <v>275</v>
      </c>
    </row>
    <row r="289" spans="2:29" ht="12.75">
      <c r="B289" s="50" t="s">
        <v>1972</v>
      </c>
      <c r="C289" s="50" t="s">
        <v>1998</v>
      </c>
      <c r="D289" s="51" t="s">
        <v>1673</v>
      </c>
      <c r="E289" s="50" t="s">
        <v>1673</v>
      </c>
      <c r="F289" s="50" t="s">
        <v>1673</v>
      </c>
      <c r="G289" s="50" t="s">
        <v>1781</v>
      </c>
      <c r="H289" s="52" t="s">
        <v>2020</v>
      </c>
      <c r="I289" s="50">
        <v>0.85</v>
      </c>
      <c r="J289" s="78">
        <v>0.3437196053771574</v>
      </c>
      <c r="K289" s="85" t="s">
        <v>276</v>
      </c>
      <c r="L289" s="523"/>
      <c r="M289" s="62">
        <v>3.9E-2</v>
      </c>
      <c r="N289" s="85" t="s">
        <v>274</v>
      </c>
      <c r="O289" s="521"/>
      <c r="P289" s="50" t="s">
        <v>1944</v>
      </c>
      <c r="Q289" s="236" t="s">
        <v>277</v>
      </c>
      <c r="S289" s="50" t="s">
        <v>1972</v>
      </c>
      <c r="T289" s="50" t="s">
        <v>1998</v>
      </c>
      <c r="U289" s="51" t="s">
        <v>1673</v>
      </c>
      <c r="V289" s="50" t="s">
        <v>1673</v>
      </c>
      <c r="W289" s="50" t="s">
        <v>1673</v>
      </c>
      <c r="X289" s="50" t="s">
        <v>1781</v>
      </c>
      <c r="Y289" s="502"/>
      <c r="Z289" s="163" t="s">
        <v>276</v>
      </c>
      <c r="AA289" s="164">
        <v>2625</v>
      </c>
      <c r="AB289" s="529" t="s">
        <v>1944</v>
      </c>
      <c r="AC289" s="490" t="s">
        <v>277</v>
      </c>
    </row>
    <row r="290" spans="2:29" ht="12.75">
      <c r="B290" s="50" t="s">
        <v>1972</v>
      </c>
      <c r="C290" s="50" t="s">
        <v>1998</v>
      </c>
      <c r="D290" s="51" t="s">
        <v>1673</v>
      </c>
      <c r="E290" s="50" t="s">
        <v>1673</v>
      </c>
      <c r="F290" s="50" t="s">
        <v>1673</v>
      </c>
      <c r="G290" s="50" t="s">
        <v>1781</v>
      </c>
      <c r="H290" s="52">
        <v>3.3399999999999999E-4</v>
      </c>
      <c r="I290" s="50">
        <v>0.85</v>
      </c>
      <c r="J290" s="78">
        <v>0.3437196053771574</v>
      </c>
      <c r="K290" s="85" t="s">
        <v>274</v>
      </c>
      <c r="L290" s="523"/>
      <c r="M290" s="62">
        <v>3.9E-2</v>
      </c>
      <c r="N290" s="85" t="s">
        <v>276</v>
      </c>
      <c r="O290" s="521"/>
      <c r="P290" s="50" t="s">
        <v>1944</v>
      </c>
      <c r="Q290" s="236" t="s">
        <v>277</v>
      </c>
      <c r="S290" s="50" t="s">
        <v>1972</v>
      </c>
      <c r="T290" s="50" t="s">
        <v>1998</v>
      </c>
      <c r="U290" s="51" t="s">
        <v>1673</v>
      </c>
      <c r="V290" s="50" t="s">
        <v>1673</v>
      </c>
      <c r="W290" s="50" t="s">
        <v>1673</v>
      </c>
      <c r="X290" s="50" t="s">
        <v>1781</v>
      </c>
      <c r="Y290" s="502"/>
      <c r="Z290" s="165" t="s">
        <v>274</v>
      </c>
      <c r="AA290" s="166">
        <v>4375</v>
      </c>
      <c r="AB290" s="529"/>
      <c r="AC290" s="490"/>
    </row>
    <row r="291" spans="2:29" ht="12.75">
      <c r="B291" s="50" t="s">
        <v>1972</v>
      </c>
      <c r="C291" s="50" t="s">
        <v>1998</v>
      </c>
      <c r="D291" s="51" t="s">
        <v>1673</v>
      </c>
      <c r="E291" s="50" t="s">
        <v>1673</v>
      </c>
      <c r="F291" s="50" t="s">
        <v>1673</v>
      </c>
      <c r="G291" s="50" t="s">
        <v>1781</v>
      </c>
      <c r="H291" s="52">
        <v>3.3399999999999999E-4</v>
      </c>
      <c r="I291" s="50">
        <v>0.85</v>
      </c>
      <c r="J291" s="78">
        <v>0.3437196053771574</v>
      </c>
      <c r="K291" s="85" t="s">
        <v>276</v>
      </c>
      <c r="L291" s="523"/>
      <c r="M291" s="62">
        <v>3.9E-2</v>
      </c>
      <c r="N291" s="85" t="s">
        <v>276</v>
      </c>
      <c r="O291" s="521"/>
      <c r="P291" s="50" t="s">
        <v>1945</v>
      </c>
      <c r="Q291" s="237" t="s">
        <v>256</v>
      </c>
      <c r="S291" s="50" t="s">
        <v>1972</v>
      </c>
      <c r="T291" s="50" t="s">
        <v>1998</v>
      </c>
      <c r="U291" s="51" t="s">
        <v>1673</v>
      </c>
      <c r="V291" s="50" t="s">
        <v>1673</v>
      </c>
      <c r="W291" s="50" t="s">
        <v>1673</v>
      </c>
      <c r="X291" s="50" t="s">
        <v>1781</v>
      </c>
      <c r="Y291" s="502"/>
      <c r="Z291" s="161" t="s">
        <v>276</v>
      </c>
      <c r="AA291" s="162">
        <v>4375</v>
      </c>
      <c r="AB291" s="50" t="s">
        <v>1946</v>
      </c>
      <c r="AC291" s="239" t="s">
        <v>256</v>
      </c>
    </row>
    <row r="292" spans="2:29" ht="12.75">
      <c r="B292" s="47" t="s">
        <v>1972</v>
      </c>
      <c r="C292" s="47" t="s">
        <v>1998</v>
      </c>
      <c r="D292" s="48" t="s">
        <v>1673</v>
      </c>
      <c r="E292" s="47" t="s">
        <v>1673</v>
      </c>
      <c r="F292" s="47" t="s">
        <v>1673</v>
      </c>
      <c r="G292" s="47" t="s">
        <v>1799</v>
      </c>
      <c r="H292" s="49" t="s">
        <v>2021</v>
      </c>
      <c r="I292" s="47">
        <v>0.85</v>
      </c>
      <c r="J292" s="78">
        <v>0.47147957142791774</v>
      </c>
      <c r="K292" s="80" t="s">
        <v>274</v>
      </c>
      <c r="L292" s="510">
        <v>1.8305478482016908</v>
      </c>
      <c r="M292" s="62">
        <v>3.9E-2</v>
      </c>
      <c r="N292" s="80" t="s">
        <v>274</v>
      </c>
      <c r="O292" s="513" t="s">
        <v>2000</v>
      </c>
      <c r="P292" s="47" t="s">
        <v>1523</v>
      </c>
      <c r="Q292" s="235" t="s">
        <v>275</v>
      </c>
      <c r="S292" s="35" t="s">
        <v>1972</v>
      </c>
      <c r="T292" s="35" t="s">
        <v>1998</v>
      </c>
      <c r="U292" s="36" t="s">
        <v>1673</v>
      </c>
      <c r="V292" s="35" t="s">
        <v>1673</v>
      </c>
      <c r="W292" s="35" t="s">
        <v>1673</v>
      </c>
      <c r="X292" s="35" t="s">
        <v>1799</v>
      </c>
      <c r="Y292" s="496">
        <v>5500</v>
      </c>
      <c r="Z292" s="149" t="s">
        <v>274</v>
      </c>
      <c r="AA292" s="150">
        <v>4125</v>
      </c>
      <c r="AB292" s="35" t="s">
        <v>1943</v>
      </c>
      <c r="AC292" s="238" t="s">
        <v>275</v>
      </c>
    </row>
    <row r="293" spans="2:29" ht="12.75">
      <c r="B293" s="47" t="s">
        <v>1972</v>
      </c>
      <c r="C293" s="47" t="s">
        <v>1998</v>
      </c>
      <c r="D293" s="48" t="s">
        <v>1673</v>
      </c>
      <c r="E293" s="47" t="s">
        <v>1673</v>
      </c>
      <c r="F293" s="47" t="s">
        <v>1673</v>
      </c>
      <c r="G293" s="47" t="s">
        <v>1799</v>
      </c>
      <c r="H293" s="49" t="s">
        <v>2021</v>
      </c>
      <c r="I293" s="47">
        <v>0.85</v>
      </c>
      <c r="J293" s="78">
        <v>0.47147957142791774</v>
      </c>
      <c r="K293" s="80" t="s">
        <v>276</v>
      </c>
      <c r="L293" s="510"/>
      <c r="M293" s="62">
        <v>3.9E-2</v>
      </c>
      <c r="N293" s="80" t="s">
        <v>274</v>
      </c>
      <c r="O293" s="513"/>
      <c r="P293" s="47" t="s">
        <v>1944</v>
      </c>
      <c r="Q293" s="236" t="s">
        <v>277</v>
      </c>
      <c r="S293" s="35" t="s">
        <v>1972</v>
      </c>
      <c r="T293" s="35" t="s">
        <v>1998</v>
      </c>
      <c r="U293" s="36" t="s">
        <v>1673</v>
      </c>
      <c r="V293" s="35" t="s">
        <v>1673</v>
      </c>
      <c r="W293" s="35" t="s">
        <v>1673</v>
      </c>
      <c r="X293" s="35" t="s">
        <v>1799</v>
      </c>
      <c r="Y293" s="496"/>
      <c r="Z293" s="151" t="s">
        <v>276</v>
      </c>
      <c r="AA293" s="152">
        <v>4125</v>
      </c>
      <c r="AB293" s="491" t="s">
        <v>1944</v>
      </c>
      <c r="AC293" s="490" t="s">
        <v>277</v>
      </c>
    </row>
    <row r="294" spans="2:29" ht="12.75">
      <c r="B294" s="47" t="s">
        <v>1972</v>
      </c>
      <c r="C294" s="47" t="s">
        <v>1998</v>
      </c>
      <c r="D294" s="48" t="s">
        <v>1673</v>
      </c>
      <c r="E294" s="47" t="s">
        <v>1673</v>
      </c>
      <c r="F294" s="47" t="s">
        <v>1673</v>
      </c>
      <c r="G294" s="47" t="s">
        <v>1799</v>
      </c>
      <c r="H294" s="49">
        <v>3.1200000000000005E-4</v>
      </c>
      <c r="I294" s="47">
        <v>0.85</v>
      </c>
      <c r="J294" s="78">
        <v>0.47147957142791774</v>
      </c>
      <c r="K294" s="80" t="s">
        <v>274</v>
      </c>
      <c r="L294" s="510"/>
      <c r="M294" s="62">
        <v>3.9E-2</v>
      </c>
      <c r="N294" s="80" t="s">
        <v>276</v>
      </c>
      <c r="O294" s="513"/>
      <c r="P294" s="47" t="s">
        <v>1944</v>
      </c>
      <c r="Q294" s="236" t="s">
        <v>277</v>
      </c>
      <c r="S294" s="35" t="s">
        <v>1972</v>
      </c>
      <c r="T294" s="35" t="s">
        <v>1998</v>
      </c>
      <c r="U294" s="36" t="s">
        <v>1673</v>
      </c>
      <c r="V294" s="35" t="s">
        <v>1673</v>
      </c>
      <c r="W294" s="35" t="s">
        <v>1673</v>
      </c>
      <c r="X294" s="35" t="s">
        <v>1799</v>
      </c>
      <c r="Y294" s="496"/>
      <c r="Z294" s="153" t="s">
        <v>274</v>
      </c>
      <c r="AA294" s="154">
        <v>6875</v>
      </c>
      <c r="AB294" s="491"/>
      <c r="AC294" s="490"/>
    </row>
    <row r="295" spans="2:29" ht="12.75">
      <c r="B295" s="47" t="s">
        <v>1972</v>
      </c>
      <c r="C295" s="47" t="s">
        <v>1998</v>
      </c>
      <c r="D295" s="48" t="s">
        <v>1673</v>
      </c>
      <c r="E295" s="47" t="s">
        <v>1673</v>
      </c>
      <c r="F295" s="47" t="s">
        <v>1673</v>
      </c>
      <c r="G295" s="47" t="s">
        <v>1799</v>
      </c>
      <c r="H295" s="49">
        <v>3.1200000000000005E-4</v>
      </c>
      <c r="I295" s="47">
        <v>0.85</v>
      </c>
      <c r="J295" s="78">
        <v>0.47147957142791774</v>
      </c>
      <c r="K295" s="80" t="s">
        <v>276</v>
      </c>
      <c r="L295" s="510"/>
      <c r="M295" s="62">
        <v>3.9E-2</v>
      </c>
      <c r="N295" s="80" t="s">
        <v>276</v>
      </c>
      <c r="O295" s="513"/>
      <c r="P295" s="47" t="s">
        <v>1945</v>
      </c>
      <c r="Q295" s="237" t="s">
        <v>256</v>
      </c>
      <c r="S295" s="35" t="s">
        <v>1972</v>
      </c>
      <c r="T295" s="35" t="s">
        <v>1998</v>
      </c>
      <c r="U295" s="36" t="s">
        <v>1673</v>
      </c>
      <c r="V295" s="35" t="s">
        <v>1673</v>
      </c>
      <c r="W295" s="35" t="s">
        <v>1673</v>
      </c>
      <c r="X295" s="35" t="s">
        <v>1799</v>
      </c>
      <c r="Y295" s="496"/>
      <c r="Z295" s="149" t="s">
        <v>276</v>
      </c>
      <c r="AA295" s="150">
        <v>6875</v>
      </c>
      <c r="AB295" s="35" t="s">
        <v>1946</v>
      </c>
      <c r="AC295" s="239" t="s">
        <v>256</v>
      </c>
    </row>
    <row r="296" spans="2:29" ht="12.75">
      <c r="B296" s="22" t="s">
        <v>1972</v>
      </c>
      <c r="C296" s="22" t="s">
        <v>258</v>
      </c>
      <c r="D296" s="60" t="s">
        <v>256</v>
      </c>
      <c r="E296" s="22" t="s">
        <v>256</v>
      </c>
      <c r="F296" s="22" t="s">
        <v>256</v>
      </c>
      <c r="G296" s="22" t="s">
        <v>256</v>
      </c>
      <c r="H296" s="61" t="s">
        <v>2022</v>
      </c>
      <c r="I296" s="22">
        <v>0.92</v>
      </c>
      <c r="J296" s="78">
        <v>0.44273283539844066</v>
      </c>
      <c r="K296" s="81" t="s">
        <v>274</v>
      </c>
      <c r="L296" s="511">
        <v>1.6401708719887149</v>
      </c>
      <c r="M296" s="62">
        <v>4.2999999999999997E-2</v>
      </c>
      <c r="N296" s="81" t="s">
        <v>274</v>
      </c>
      <c r="O296" s="514" t="s">
        <v>1975</v>
      </c>
      <c r="P296" s="22" t="s">
        <v>1523</v>
      </c>
      <c r="Q296" s="235" t="s">
        <v>275</v>
      </c>
      <c r="S296" s="22" t="s">
        <v>1972</v>
      </c>
      <c r="T296" s="22" t="s">
        <v>258</v>
      </c>
      <c r="U296" s="60" t="s">
        <v>256</v>
      </c>
      <c r="V296" s="22" t="s">
        <v>256</v>
      </c>
      <c r="W296" s="22" t="s">
        <v>256</v>
      </c>
      <c r="X296" s="22" t="s">
        <v>256</v>
      </c>
      <c r="Y296" s="503">
        <v>10000</v>
      </c>
      <c r="Z296" s="155" t="s">
        <v>274</v>
      </c>
      <c r="AA296" s="156">
        <v>7500</v>
      </c>
      <c r="AB296" s="22" t="s">
        <v>1943</v>
      </c>
      <c r="AC296" s="238" t="s">
        <v>275</v>
      </c>
    </row>
    <row r="297" spans="2:29" ht="12.75">
      <c r="B297" s="22" t="s">
        <v>1972</v>
      </c>
      <c r="C297" s="22" t="s">
        <v>258</v>
      </c>
      <c r="D297" s="60" t="s">
        <v>256</v>
      </c>
      <c r="E297" s="22" t="s">
        <v>256</v>
      </c>
      <c r="F297" s="22" t="s">
        <v>256</v>
      </c>
      <c r="G297" s="22" t="s">
        <v>256</v>
      </c>
      <c r="H297" s="61" t="s">
        <v>2022</v>
      </c>
      <c r="I297" s="22">
        <v>0.92</v>
      </c>
      <c r="J297" s="78">
        <v>0.44273283539844066</v>
      </c>
      <c r="K297" s="81" t="s">
        <v>276</v>
      </c>
      <c r="L297" s="511"/>
      <c r="M297" s="62">
        <v>4.2999999999999997E-2</v>
      </c>
      <c r="N297" s="81" t="s">
        <v>274</v>
      </c>
      <c r="O297" s="514"/>
      <c r="P297" s="22" t="s">
        <v>1944</v>
      </c>
      <c r="Q297" s="236" t="s">
        <v>277</v>
      </c>
      <c r="S297" s="22" t="s">
        <v>1972</v>
      </c>
      <c r="T297" s="22" t="s">
        <v>258</v>
      </c>
      <c r="U297" s="60" t="s">
        <v>256</v>
      </c>
      <c r="V297" s="22" t="s">
        <v>256</v>
      </c>
      <c r="W297" s="22" t="s">
        <v>256</v>
      </c>
      <c r="X297" s="22" t="s">
        <v>256</v>
      </c>
      <c r="Y297" s="503"/>
      <c r="Z297" s="157" t="s">
        <v>276</v>
      </c>
      <c r="AA297" s="158">
        <v>7500</v>
      </c>
      <c r="AB297" s="492" t="s">
        <v>1944</v>
      </c>
      <c r="AC297" s="490" t="s">
        <v>277</v>
      </c>
    </row>
    <row r="298" spans="2:29" ht="12.75">
      <c r="B298" s="22" t="s">
        <v>1972</v>
      </c>
      <c r="C298" s="22" t="s">
        <v>258</v>
      </c>
      <c r="D298" s="60" t="s">
        <v>256</v>
      </c>
      <c r="E298" s="22" t="s">
        <v>256</v>
      </c>
      <c r="F298" s="22" t="s">
        <v>256</v>
      </c>
      <c r="G298" s="22" t="s">
        <v>256</v>
      </c>
      <c r="H298" s="61">
        <v>9.2500000000000012E-5</v>
      </c>
      <c r="I298" s="22">
        <v>0.92</v>
      </c>
      <c r="J298" s="78">
        <v>0.44273283539844066</v>
      </c>
      <c r="K298" s="81" t="s">
        <v>274</v>
      </c>
      <c r="L298" s="511"/>
      <c r="M298" s="62">
        <v>4.2999999999999997E-2</v>
      </c>
      <c r="N298" s="81" t="s">
        <v>276</v>
      </c>
      <c r="O298" s="514"/>
      <c r="P298" s="22" t="s">
        <v>1944</v>
      </c>
      <c r="Q298" s="236" t="s">
        <v>277</v>
      </c>
      <c r="S298" s="22" t="s">
        <v>1972</v>
      </c>
      <c r="T298" s="22" t="s">
        <v>258</v>
      </c>
      <c r="U298" s="60" t="s">
        <v>256</v>
      </c>
      <c r="V298" s="22" t="s">
        <v>256</v>
      </c>
      <c r="W298" s="22" t="s">
        <v>256</v>
      </c>
      <c r="X298" s="22" t="s">
        <v>256</v>
      </c>
      <c r="Y298" s="503"/>
      <c r="Z298" s="159" t="s">
        <v>274</v>
      </c>
      <c r="AA298" s="160">
        <v>12500</v>
      </c>
      <c r="AB298" s="492"/>
      <c r="AC298" s="490"/>
    </row>
    <row r="299" spans="2:29" ht="12.75">
      <c r="B299" s="22" t="s">
        <v>1972</v>
      </c>
      <c r="C299" s="22" t="s">
        <v>258</v>
      </c>
      <c r="D299" s="60" t="s">
        <v>256</v>
      </c>
      <c r="E299" s="22" t="s">
        <v>256</v>
      </c>
      <c r="F299" s="22" t="s">
        <v>256</v>
      </c>
      <c r="G299" s="22" t="s">
        <v>256</v>
      </c>
      <c r="H299" s="61">
        <v>9.2500000000000012E-5</v>
      </c>
      <c r="I299" s="22">
        <v>0.92</v>
      </c>
      <c r="J299" s="78">
        <v>0.44273283539844066</v>
      </c>
      <c r="K299" s="81" t="s">
        <v>276</v>
      </c>
      <c r="L299" s="511"/>
      <c r="M299" s="62">
        <v>4.2999999999999997E-2</v>
      </c>
      <c r="N299" s="81" t="s">
        <v>276</v>
      </c>
      <c r="O299" s="514"/>
      <c r="P299" s="22" t="s">
        <v>1945</v>
      </c>
      <c r="Q299" s="237" t="s">
        <v>256</v>
      </c>
      <c r="S299" s="22" t="s">
        <v>1972</v>
      </c>
      <c r="T299" s="22" t="s">
        <v>258</v>
      </c>
      <c r="U299" s="60" t="s">
        <v>256</v>
      </c>
      <c r="V299" s="22" t="s">
        <v>256</v>
      </c>
      <c r="W299" s="22" t="s">
        <v>256</v>
      </c>
      <c r="X299" s="22" t="s">
        <v>256</v>
      </c>
      <c r="Y299" s="503"/>
      <c r="Z299" s="155" t="s">
        <v>276</v>
      </c>
      <c r="AA299" s="156">
        <v>12500</v>
      </c>
      <c r="AB299" s="22" t="s">
        <v>1946</v>
      </c>
      <c r="AC299" s="239" t="s">
        <v>256</v>
      </c>
    </row>
    <row r="301" spans="2:29" ht="63.75">
      <c r="B301" s="40" t="s">
        <v>295</v>
      </c>
      <c r="C301" s="118" t="s">
        <v>1562</v>
      </c>
      <c r="D301" s="40" t="s">
        <v>296</v>
      </c>
      <c r="E301" s="40" t="s">
        <v>297</v>
      </c>
      <c r="F301" s="118" t="s">
        <v>298</v>
      </c>
      <c r="G301" s="40" t="s">
        <v>299</v>
      </c>
      <c r="H301" s="40" t="s">
        <v>300</v>
      </c>
      <c r="I301" s="118" t="s">
        <v>1577</v>
      </c>
      <c r="J301" s="119"/>
      <c r="K301" s="120" t="s">
        <v>301</v>
      </c>
      <c r="L301" s="118" t="s">
        <v>1575</v>
      </c>
      <c r="M301" s="121"/>
      <c r="N301" s="120" t="s">
        <v>302</v>
      </c>
      <c r="O301" s="493" t="s">
        <v>2091</v>
      </c>
      <c r="P301" s="493"/>
      <c r="S301" s="40" t="s">
        <v>303</v>
      </c>
      <c r="T301" s="118" t="s">
        <v>304</v>
      </c>
      <c r="U301" s="40" t="s">
        <v>305</v>
      </c>
      <c r="V301" s="40" t="s">
        <v>306</v>
      </c>
      <c r="W301" s="40" t="s">
        <v>307</v>
      </c>
      <c r="X301" s="140" t="s">
        <v>308</v>
      </c>
      <c r="Y301" s="500" t="s">
        <v>309</v>
      </c>
      <c r="Z301" s="500"/>
      <c r="AA301" s="493" t="s">
        <v>2092</v>
      </c>
      <c r="AB301" s="493"/>
    </row>
    <row r="302" spans="2:29" ht="12.75">
      <c r="B302" s="53" t="s">
        <v>2023</v>
      </c>
      <c r="C302" s="53" t="s">
        <v>1973</v>
      </c>
      <c r="D302" s="54" t="s">
        <v>1777</v>
      </c>
      <c r="E302" s="53" t="s">
        <v>1674</v>
      </c>
      <c r="F302" s="53" t="s">
        <v>1778</v>
      </c>
      <c r="G302" s="55" t="s">
        <v>2024</v>
      </c>
      <c r="H302" s="53">
        <v>0.61</v>
      </c>
      <c r="I302" s="78">
        <v>0.71350135626247835</v>
      </c>
      <c r="J302" s="82" t="s">
        <v>274</v>
      </c>
      <c r="K302" s="509">
        <v>0.76086371289166055</v>
      </c>
      <c r="L302" s="62">
        <v>7.0000000000000007E-2</v>
      </c>
      <c r="M302" s="82" t="s">
        <v>274</v>
      </c>
      <c r="N302" s="512" t="s">
        <v>2025</v>
      </c>
      <c r="O302" s="53" t="s">
        <v>1523</v>
      </c>
      <c r="P302" s="235" t="s">
        <v>275</v>
      </c>
      <c r="S302" s="53" t="s">
        <v>2023</v>
      </c>
      <c r="T302" s="53" t="s">
        <v>1973</v>
      </c>
      <c r="U302" s="54" t="s">
        <v>1777</v>
      </c>
      <c r="V302" s="53" t="s">
        <v>1674</v>
      </c>
      <c r="W302" s="53" t="s">
        <v>1778</v>
      </c>
      <c r="X302" s="501">
        <v>18000</v>
      </c>
      <c r="Y302" s="167" t="s">
        <v>274</v>
      </c>
      <c r="Z302" s="168">
        <v>13500</v>
      </c>
      <c r="AA302" s="53" t="s">
        <v>1943</v>
      </c>
      <c r="AB302" s="238" t="s">
        <v>275</v>
      </c>
    </row>
    <row r="303" spans="2:29" ht="12.75">
      <c r="B303" s="53" t="s">
        <v>2023</v>
      </c>
      <c r="C303" s="53" t="s">
        <v>1973</v>
      </c>
      <c r="D303" s="54" t="s">
        <v>1777</v>
      </c>
      <c r="E303" s="53" t="s">
        <v>1674</v>
      </c>
      <c r="F303" s="53" t="s">
        <v>1778</v>
      </c>
      <c r="G303" s="55" t="s">
        <v>2024</v>
      </c>
      <c r="H303" s="53">
        <v>0.61</v>
      </c>
      <c r="I303" s="78">
        <v>0.71350135626247835</v>
      </c>
      <c r="J303" s="82" t="s">
        <v>276</v>
      </c>
      <c r="K303" s="509"/>
      <c r="L303" s="62">
        <v>7.0000000000000007E-2</v>
      </c>
      <c r="M303" s="82" t="s">
        <v>274</v>
      </c>
      <c r="N303" s="512"/>
      <c r="O303" s="53" t="s">
        <v>1944</v>
      </c>
      <c r="P303" s="236" t="s">
        <v>277</v>
      </c>
      <c r="S303" s="53" t="s">
        <v>2023</v>
      </c>
      <c r="T303" s="53" t="s">
        <v>1973</v>
      </c>
      <c r="U303" s="54" t="s">
        <v>1777</v>
      </c>
      <c r="V303" s="53" t="s">
        <v>1674</v>
      </c>
      <c r="W303" s="53" t="s">
        <v>1778</v>
      </c>
      <c r="X303" s="501"/>
      <c r="Y303" s="169" t="s">
        <v>276</v>
      </c>
      <c r="Z303" s="170">
        <v>13500</v>
      </c>
      <c r="AA303" s="489" t="s">
        <v>1944</v>
      </c>
      <c r="AB303" s="490" t="s">
        <v>277</v>
      </c>
    </row>
    <row r="304" spans="2:29" ht="12.75">
      <c r="B304" s="53" t="s">
        <v>2023</v>
      </c>
      <c r="C304" s="53" t="s">
        <v>1973</v>
      </c>
      <c r="D304" s="54" t="s">
        <v>1777</v>
      </c>
      <c r="E304" s="53" t="s">
        <v>1674</v>
      </c>
      <c r="F304" s="53" t="s">
        <v>1778</v>
      </c>
      <c r="G304" s="55">
        <v>1.8100000000000002E-3</v>
      </c>
      <c r="H304" s="53">
        <v>0.61</v>
      </c>
      <c r="I304" s="78">
        <v>0.71350135626247835</v>
      </c>
      <c r="J304" s="82" t="s">
        <v>274</v>
      </c>
      <c r="K304" s="509"/>
      <c r="L304" s="62">
        <v>7.0000000000000007E-2</v>
      </c>
      <c r="M304" s="82" t="s">
        <v>276</v>
      </c>
      <c r="N304" s="512"/>
      <c r="O304" s="53" t="s">
        <v>1944</v>
      </c>
      <c r="P304" s="236" t="s">
        <v>277</v>
      </c>
      <c r="S304" s="53" t="s">
        <v>2023</v>
      </c>
      <c r="T304" s="53" t="s">
        <v>1973</v>
      </c>
      <c r="U304" s="54" t="s">
        <v>1777</v>
      </c>
      <c r="V304" s="53" t="s">
        <v>1674</v>
      </c>
      <c r="W304" s="53" t="s">
        <v>1778</v>
      </c>
      <c r="X304" s="501"/>
      <c r="Y304" s="171" t="s">
        <v>274</v>
      </c>
      <c r="Z304" s="172">
        <v>22500</v>
      </c>
      <c r="AA304" s="489"/>
      <c r="AB304" s="490"/>
    </row>
    <row r="305" spans="2:28" ht="12.75">
      <c r="B305" s="53" t="s">
        <v>2023</v>
      </c>
      <c r="C305" s="53" t="s">
        <v>1973</v>
      </c>
      <c r="D305" s="54" t="s">
        <v>1777</v>
      </c>
      <c r="E305" s="53" t="s">
        <v>1674</v>
      </c>
      <c r="F305" s="53" t="s">
        <v>1778</v>
      </c>
      <c r="G305" s="55">
        <v>1.8100000000000002E-3</v>
      </c>
      <c r="H305" s="53">
        <v>0.61</v>
      </c>
      <c r="I305" s="78">
        <v>0.71350135626247835</v>
      </c>
      <c r="J305" s="82" t="s">
        <v>276</v>
      </c>
      <c r="K305" s="509"/>
      <c r="L305" s="62">
        <v>7.0000000000000007E-2</v>
      </c>
      <c r="M305" s="82" t="s">
        <v>276</v>
      </c>
      <c r="N305" s="512"/>
      <c r="O305" s="53" t="s">
        <v>1945</v>
      </c>
      <c r="P305" s="237" t="s">
        <v>256</v>
      </c>
      <c r="S305" s="53" t="s">
        <v>2023</v>
      </c>
      <c r="T305" s="53" t="s">
        <v>1973</v>
      </c>
      <c r="U305" s="54" t="s">
        <v>1777</v>
      </c>
      <c r="V305" s="53" t="s">
        <v>1674</v>
      </c>
      <c r="W305" s="53" t="s">
        <v>1778</v>
      </c>
      <c r="X305" s="501"/>
      <c r="Y305" s="167" t="s">
        <v>276</v>
      </c>
      <c r="Z305" s="168">
        <v>22500</v>
      </c>
      <c r="AA305" s="53" t="s">
        <v>1946</v>
      </c>
      <c r="AB305" s="239" t="s">
        <v>256</v>
      </c>
    </row>
    <row r="306" spans="2:28" ht="12.75">
      <c r="B306" s="35" t="s">
        <v>2023</v>
      </c>
      <c r="C306" s="35" t="s">
        <v>1973</v>
      </c>
      <c r="D306" s="35" t="s">
        <v>1777</v>
      </c>
      <c r="E306" s="35" t="s">
        <v>1674</v>
      </c>
      <c r="F306" s="35" t="s">
        <v>1781</v>
      </c>
      <c r="G306" s="35">
        <v>1.8100000000000002E-3</v>
      </c>
      <c r="H306" s="35">
        <v>0.61</v>
      </c>
      <c r="I306" s="78">
        <v>0.71350135626247835</v>
      </c>
      <c r="J306" s="80" t="s">
        <v>274</v>
      </c>
      <c r="K306" s="510">
        <v>0.76086371289166055</v>
      </c>
      <c r="L306" s="62">
        <v>0.06</v>
      </c>
      <c r="M306" s="80" t="s">
        <v>274</v>
      </c>
      <c r="N306" s="513" t="s">
        <v>2025</v>
      </c>
      <c r="O306" s="35" t="s">
        <v>1523</v>
      </c>
      <c r="P306" s="235" t="s">
        <v>275</v>
      </c>
      <c r="S306" s="35" t="s">
        <v>2023</v>
      </c>
      <c r="T306" s="35" t="s">
        <v>1973</v>
      </c>
      <c r="U306" s="35" t="s">
        <v>1777</v>
      </c>
      <c r="V306" s="35" t="s">
        <v>1674</v>
      </c>
      <c r="W306" s="35" t="s">
        <v>1781</v>
      </c>
      <c r="X306" s="496">
        <v>18000</v>
      </c>
      <c r="Y306" s="149" t="s">
        <v>274</v>
      </c>
      <c r="Z306" s="150">
        <v>13500</v>
      </c>
      <c r="AA306" s="35" t="s">
        <v>1943</v>
      </c>
      <c r="AB306" s="238" t="s">
        <v>275</v>
      </c>
    </row>
    <row r="307" spans="2:28" ht="12.75">
      <c r="B307" s="35" t="s">
        <v>2023</v>
      </c>
      <c r="C307" s="35" t="s">
        <v>1973</v>
      </c>
      <c r="D307" s="35" t="s">
        <v>1777</v>
      </c>
      <c r="E307" s="35" t="s">
        <v>1674</v>
      </c>
      <c r="F307" s="35" t="s">
        <v>1781</v>
      </c>
      <c r="G307" s="35">
        <v>1.8100000000000002E-3</v>
      </c>
      <c r="H307" s="35">
        <v>0.61</v>
      </c>
      <c r="I307" s="78">
        <v>0.71350135626247835</v>
      </c>
      <c r="J307" s="80" t="s">
        <v>276</v>
      </c>
      <c r="K307" s="510"/>
      <c r="L307" s="62">
        <v>0.06</v>
      </c>
      <c r="M307" s="80" t="s">
        <v>274</v>
      </c>
      <c r="N307" s="513"/>
      <c r="O307" s="35" t="s">
        <v>1944</v>
      </c>
      <c r="P307" s="236" t="s">
        <v>277</v>
      </c>
      <c r="S307" s="35" t="s">
        <v>2023</v>
      </c>
      <c r="T307" s="35" t="s">
        <v>1973</v>
      </c>
      <c r="U307" s="35" t="s">
        <v>1777</v>
      </c>
      <c r="V307" s="35" t="s">
        <v>1674</v>
      </c>
      <c r="W307" s="35" t="s">
        <v>1781</v>
      </c>
      <c r="X307" s="496"/>
      <c r="Y307" s="151" t="s">
        <v>276</v>
      </c>
      <c r="Z307" s="152">
        <v>13500</v>
      </c>
      <c r="AA307" s="491" t="s">
        <v>1944</v>
      </c>
      <c r="AB307" s="490" t="s">
        <v>277</v>
      </c>
    </row>
    <row r="308" spans="2:28" ht="12.75">
      <c r="B308" s="35" t="s">
        <v>2023</v>
      </c>
      <c r="C308" s="35" t="s">
        <v>1973</v>
      </c>
      <c r="D308" s="35" t="s">
        <v>1777</v>
      </c>
      <c r="E308" s="35" t="s">
        <v>1674</v>
      </c>
      <c r="F308" s="35" t="s">
        <v>1781</v>
      </c>
      <c r="G308" s="35">
        <v>1.8100000000000002E-3</v>
      </c>
      <c r="H308" s="35">
        <v>0.61</v>
      </c>
      <c r="I308" s="78">
        <v>0.71350135626247835</v>
      </c>
      <c r="J308" s="80" t="s">
        <v>274</v>
      </c>
      <c r="K308" s="510"/>
      <c r="L308" s="62">
        <v>0.06</v>
      </c>
      <c r="M308" s="80" t="s">
        <v>276</v>
      </c>
      <c r="N308" s="513"/>
      <c r="O308" s="35" t="s">
        <v>1944</v>
      </c>
      <c r="P308" s="236" t="s">
        <v>277</v>
      </c>
      <c r="S308" s="35" t="s">
        <v>2023</v>
      </c>
      <c r="T308" s="35" t="s">
        <v>1973</v>
      </c>
      <c r="U308" s="35" t="s">
        <v>1777</v>
      </c>
      <c r="V308" s="35" t="s">
        <v>1674</v>
      </c>
      <c r="W308" s="35" t="s">
        <v>1781</v>
      </c>
      <c r="X308" s="496"/>
      <c r="Y308" s="153" t="s">
        <v>274</v>
      </c>
      <c r="Z308" s="154">
        <v>22500</v>
      </c>
      <c r="AA308" s="491"/>
      <c r="AB308" s="490"/>
    </row>
    <row r="309" spans="2:28" ht="12.75">
      <c r="B309" s="35" t="s">
        <v>2023</v>
      </c>
      <c r="C309" s="35" t="s">
        <v>1973</v>
      </c>
      <c r="D309" s="35" t="s">
        <v>1777</v>
      </c>
      <c r="E309" s="35" t="s">
        <v>1674</v>
      </c>
      <c r="F309" s="35" t="s">
        <v>1781</v>
      </c>
      <c r="G309" s="35">
        <v>1.8100000000000002E-3</v>
      </c>
      <c r="H309" s="35">
        <v>0.61</v>
      </c>
      <c r="I309" s="78">
        <v>0.71350135626247835</v>
      </c>
      <c r="J309" s="80" t="s">
        <v>276</v>
      </c>
      <c r="K309" s="510"/>
      <c r="L309" s="62">
        <v>0.06</v>
      </c>
      <c r="M309" s="80" t="s">
        <v>276</v>
      </c>
      <c r="N309" s="513"/>
      <c r="O309" s="35" t="s">
        <v>2026</v>
      </c>
      <c r="P309" s="237" t="s">
        <v>256</v>
      </c>
      <c r="S309" s="35" t="s">
        <v>2023</v>
      </c>
      <c r="T309" s="35" t="s">
        <v>1973</v>
      </c>
      <c r="U309" s="35" t="s">
        <v>1777</v>
      </c>
      <c r="V309" s="35" t="s">
        <v>1674</v>
      </c>
      <c r="W309" s="35" t="s">
        <v>1781</v>
      </c>
      <c r="X309" s="496"/>
      <c r="Y309" s="149" t="s">
        <v>276</v>
      </c>
      <c r="Z309" s="150">
        <v>22500</v>
      </c>
      <c r="AA309" s="35" t="s">
        <v>1946</v>
      </c>
      <c r="AB309" s="239" t="s">
        <v>256</v>
      </c>
    </row>
    <row r="310" spans="2:28" ht="12.75">
      <c r="B310" s="53" t="s">
        <v>2023</v>
      </c>
      <c r="C310" s="53" t="s">
        <v>1973</v>
      </c>
      <c r="D310" s="54" t="s">
        <v>1777</v>
      </c>
      <c r="E310" s="53" t="s">
        <v>1674</v>
      </c>
      <c r="F310" s="53" t="s">
        <v>1799</v>
      </c>
      <c r="G310" s="55">
        <v>1.8100000000000002E-3</v>
      </c>
      <c r="H310" s="53">
        <v>0.61</v>
      </c>
      <c r="I310" s="78">
        <v>0.76086371289166055</v>
      </c>
      <c r="J310" s="82" t="s">
        <v>274</v>
      </c>
      <c r="K310" s="509">
        <v>0.76086371289166055</v>
      </c>
      <c r="L310" s="62">
        <v>0.06</v>
      </c>
      <c r="M310" s="82" t="s">
        <v>274</v>
      </c>
      <c r="N310" s="512" t="s">
        <v>2025</v>
      </c>
      <c r="O310" s="53" t="s">
        <v>1523</v>
      </c>
      <c r="P310" s="235" t="s">
        <v>275</v>
      </c>
      <c r="S310" s="53" t="s">
        <v>2023</v>
      </c>
      <c r="T310" s="53" t="s">
        <v>1973</v>
      </c>
      <c r="U310" s="54" t="s">
        <v>1777</v>
      </c>
      <c r="V310" s="53" t="s">
        <v>1674</v>
      </c>
      <c r="W310" s="53" t="s">
        <v>1799</v>
      </c>
      <c r="X310" s="501">
        <v>20000</v>
      </c>
      <c r="Y310" s="167" t="s">
        <v>274</v>
      </c>
      <c r="Z310" s="168">
        <v>15000</v>
      </c>
      <c r="AA310" s="53" t="s">
        <v>1943</v>
      </c>
      <c r="AB310" s="238" t="s">
        <v>275</v>
      </c>
    </row>
    <row r="311" spans="2:28" ht="12.75">
      <c r="B311" s="53" t="s">
        <v>2023</v>
      </c>
      <c r="C311" s="53" t="s">
        <v>1973</v>
      </c>
      <c r="D311" s="54" t="s">
        <v>1777</v>
      </c>
      <c r="E311" s="53" t="s">
        <v>1674</v>
      </c>
      <c r="F311" s="53" t="s">
        <v>1799</v>
      </c>
      <c r="G311" s="55">
        <v>1.8100000000000002E-3</v>
      </c>
      <c r="H311" s="53">
        <v>0.61</v>
      </c>
      <c r="I311" s="78">
        <v>0.76086371289166055</v>
      </c>
      <c r="J311" s="82" t="s">
        <v>276</v>
      </c>
      <c r="K311" s="509"/>
      <c r="L311" s="62">
        <v>0.06</v>
      </c>
      <c r="M311" s="82" t="s">
        <v>274</v>
      </c>
      <c r="N311" s="512"/>
      <c r="O311" s="53" t="s">
        <v>1944</v>
      </c>
      <c r="P311" s="236" t="s">
        <v>277</v>
      </c>
      <c r="S311" s="53" t="s">
        <v>2023</v>
      </c>
      <c r="T311" s="53" t="s">
        <v>1973</v>
      </c>
      <c r="U311" s="54" t="s">
        <v>1777</v>
      </c>
      <c r="V311" s="53" t="s">
        <v>1674</v>
      </c>
      <c r="W311" s="53" t="s">
        <v>1799</v>
      </c>
      <c r="X311" s="501"/>
      <c r="Y311" s="169" t="s">
        <v>276</v>
      </c>
      <c r="Z311" s="170">
        <v>15000</v>
      </c>
      <c r="AA311" s="489" t="s">
        <v>1944</v>
      </c>
      <c r="AB311" s="490" t="s">
        <v>277</v>
      </c>
    </row>
    <row r="312" spans="2:28" ht="12.75">
      <c r="B312" s="53" t="s">
        <v>2023</v>
      </c>
      <c r="C312" s="53" t="s">
        <v>1973</v>
      </c>
      <c r="D312" s="54" t="s">
        <v>1777</v>
      </c>
      <c r="E312" s="53" t="s">
        <v>1674</v>
      </c>
      <c r="F312" s="53" t="s">
        <v>1799</v>
      </c>
      <c r="G312" s="55">
        <v>1.8100000000000002E-3</v>
      </c>
      <c r="H312" s="53">
        <v>0.61</v>
      </c>
      <c r="I312" s="78">
        <v>0.76086371289166055</v>
      </c>
      <c r="J312" s="82" t="s">
        <v>274</v>
      </c>
      <c r="K312" s="509"/>
      <c r="L312" s="62">
        <v>0.06</v>
      </c>
      <c r="M312" s="82" t="s">
        <v>276</v>
      </c>
      <c r="N312" s="512"/>
      <c r="O312" s="53" t="s">
        <v>1944</v>
      </c>
      <c r="P312" s="236" t="s">
        <v>277</v>
      </c>
      <c r="S312" s="53" t="s">
        <v>2023</v>
      </c>
      <c r="T312" s="53" t="s">
        <v>1973</v>
      </c>
      <c r="U312" s="54" t="s">
        <v>1777</v>
      </c>
      <c r="V312" s="53" t="s">
        <v>1674</v>
      </c>
      <c r="W312" s="53" t="s">
        <v>1799</v>
      </c>
      <c r="X312" s="501"/>
      <c r="Y312" s="171" t="s">
        <v>274</v>
      </c>
      <c r="Z312" s="172">
        <v>25000</v>
      </c>
      <c r="AA312" s="489"/>
      <c r="AB312" s="490"/>
    </row>
    <row r="313" spans="2:28" ht="12.75">
      <c r="B313" s="53" t="s">
        <v>2023</v>
      </c>
      <c r="C313" s="53" t="s">
        <v>1973</v>
      </c>
      <c r="D313" s="54" t="s">
        <v>1777</v>
      </c>
      <c r="E313" s="53" t="s">
        <v>1674</v>
      </c>
      <c r="F313" s="53" t="s">
        <v>1799</v>
      </c>
      <c r="G313" s="55">
        <v>1.8100000000000002E-3</v>
      </c>
      <c r="H313" s="53">
        <v>0.61</v>
      </c>
      <c r="I313" s="78">
        <v>0.76086371289166055</v>
      </c>
      <c r="J313" s="82" t="s">
        <v>276</v>
      </c>
      <c r="K313" s="509"/>
      <c r="L313" s="62">
        <v>0.06</v>
      </c>
      <c r="M313" s="82" t="s">
        <v>276</v>
      </c>
      <c r="N313" s="512"/>
      <c r="O313" s="53" t="s">
        <v>1945</v>
      </c>
      <c r="P313" s="237" t="s">
        <v>256</v>
      </c>
      <c r="S313" s="53" t="s">
        <v>2023</v>
      </c>
      <c r="T313" s="53" t="s">
        <v>1973</v>
      </c>
      <c r="U313" s="54" t="s">
        <v>1777</v>
      </c>
      <c r="V313" s="53" t="s">
        <v>1674</v>
      </c>
      <c r="W313" s="53" t="s">
        <v>1799</v>
      </c>
      <c r="X313" s="501"/>
      <c r="Y313" s="167" t="s">
        <v>276</v>
      </c>
      <c r="Z313" s="168">
        <v>25000</v>
      </c>
      <c r="AA313" s="53" t="s">
        <v>1946</v>
      </c>
      <c r="AB313" s="239" t="s">
        <v>256</v>
      </c>
    </row>
    <row r="314" spans="2:28" ht="12.75">
      <c r="B314" s="35" t="s">
        <v>2023</v>
      </c>
      <c r="C314" s="35" t="s">
        <v>1973</v>
      </c>
      <c r="D314" s="35" t="s">
        <v>1777</v>
      </c>
      <c r="E314" s="35" t="s">
        <v>1673</v>
      </c>
      <c r="F314" s="35" t="s">
        <v>1778</v>
      </c>
      <c r="G314" s="35">
        <v>1.8100000000000002E-3</v>
      </c>
      <c r="H314" s="35">
        <v>0.61</v>
      </c>
      <c r="I314" s="78">
        <v>0.76086371289166055</v>
      </c>
      <c r="J314" s="80" t="s">
        <v>274</v>
      </c>
      <c r="K314" s="510">
        <v>0.76086371289166055</v>
      </c>
      <c r="L314" s="62">
        <v>6.7000000000000004E-2</v>
      </c>
      <c r="M314" s="80" t="s">
        <v>274</v>
      </c>
      <c r="N314" s="513" t="s">
        <v>2025</v>
      </c>
      <c r="O314" s="35" t="s">
        <v>1523</v>
      </c>
      <c r="P314" s="235" t="s">
        <v>275</v>
      </c>
      <c r="S314" s="35" t="s">
        <v>2023</v>
      </c>
      <c r="T314" s="35" t="s">
        <v>1973</v>
      </c>
      <c r="U314" s="35" t="s">
        <v>1777</v>
      </c>
      <c r="V314" s="35" t="s">
        <v>1673</v>
      </c>
      <c r="W314" s="35" t="s">
        <v>1778</v>
      </c>
      <c r="X314" s="496">
        <v>20000</v>
      </c>
      <c r="Y314" s="149" t="s">
        <v>274</v>
      </c>
      <c r="Z314" s="150">
        <v>15000</v>
      </c>
      <c r="AA314" s="35" t="s">
        <v>1943</v>
      </c>
      <c r="AB314" s="238" t="s">
        <v>275</v>
      </c>
    </row>
    <row r="315" spans="2:28" ht="12.75">
      <c r="B315" s="35" t="s">
        <v>2023</v>
      </c>
      <c r="C315" s="35" t="s">
        <v>1973</v>
      </c>
      <c r="D315" s="35" t="s">
        <v>1777</v>
      </c>
      <c r="E315" s="35" t="s">
        <v>1673</v>
      </c>
      <c r="F315" s="35" t="s">
        <v>1778</v>
      </c>
      <c r="G315" s="35">
        <v>1.8100000000000002E-3</v>
      </c>
      <c r="H315" s="35">
        <v>0.61</v>
      </c>
      <c r="I315" s="78">
        <v>0.76086371289166055</v>
      </c>
      <c r="J315" s="80" t="s">
        <v>276</v>
      </c>
      <c r="K315" s="510"/>
      <c r="L315" s="62">
        <v>6.7000000000000004E-2</v>
      </c>
      <c r="M315" s="80" t="s">
        <v>274</v>
      </c>
      <c r="N315" s="513"/>
      <c r="O315" s="35" t="s">
        <v>1944</v>
      </c>
      <c r="P315" s="236" t="s">
        <v>277</v>
      </c>
      <c r="S315" s="35" t="s">
        <v>2023</v>
      </c>
      <c r="T315" s="35" t="s">
        <v>1973</v>
      </c>
      <c r="U315" s="35" t="s">
        <v>1777</v>
      </c>
      <c r="V315" s="35" t="s">
        <v>1673</v>
      </c>
      <c r="W315" s="35" t="s">
        <v>1778</v>
      </c>
      <c r="X315" s="496"/>
      <c r="Y315" s="151" t="s">
        <v>276</v>
      </c>
      <c r="Z315" s="152">
        <v>15000</v>
      </c>
      <c r="AA315" s="491" t="s">
        <v>1944</v>
      </c>
      <c r="AB315" s="490" t="s">
        <v>277</v>
      </c>
    </row>
    <row r="316" spans="2:28" ht="12.75">
      <c r="B316" s="35" t="s">
        <v>2023</v>
      </c>
      <c r="C316" s="35" t="s">
        <v>1973</v>
      </c>
      <c r="D316" s="35" t="s">
        <v>1777</v>
      </c>
      <c r="E316" s="35" t="s">
        <v>1673</v>
      </c>
      <c r="F316" s="35" t="s">
        <v>1778</v>
      </c>
      <c r="G316" s="35">
        <v>1.8100000000000002E-3</v>
      </c>
      <c r="H316" s="35">
        <v>0.61</v>
      </c>
      <c r="I316" s="78">
        <v>0.76086371289166055</v>
      </c>
      <c r="J316" s="80" t="s">
        <v>274</v>
      </c>
      <c r="K316" s="510"/>
      <c r="L316" s="62">
        <v>6.7000000000000004E-2</v>
      </c>
      <c r="M316" s="80" t="s">
        <v>276</v>
      </c>
      <c r="N316" s="513"/>
      <c r="O316" s="35" t="s">
        <v>1944</v>
      </c>
      <c r="P316" s="236" t="s">
        <v>277</v>
      </c>
      <c r="S316" s="35" t="s">
        <v>2023</v>
      </c>
      <c r="T316" s="35" t="s">
        <v>1973</v>
      </c>
      <c r="U316" s="35" t="s">
        <v>1777</v>
      </c>
      <c r="V316" s="35" t="s">
        <v>1673</v>
      </c>
      <c r="W316" s="35" t="s">
        <v>1778</v>
      </c>
      <c r="X316" s="496"/>
      <c r="Y316" s="153" t="s">
        <v>274</v>
      </c>
      <c r="Z316" s="154">
        <v>25000</v>
      </c>
      <c r="AA316" s="491"/>
      <c r="AB316" s="490"/>
    </row>
    <row r="317" spans="2:28" ht="12.75">
      <c r="B317" s="35" t="s">
        <v>2023</v>
      </c>
      <c r="C317" s="35" t="s">
        <v>1973</v>
      </c>
      <c r="D317" s="35" t="s">
        <v>1777</v>
      </c>
      <c r="E317" s="35" t="s">
        <v>1673</v>
      </c>
      <c r="F317" s="35" t="s">
        <v>1778</v>
      </c>
      <c r="G317" s="35">
        <v>1.8100000000000002E-3</v>
      </c>
      <c r="H317" s="35">
        <v>0.61</v>
      </c>
      <c r="I317" s="78">
        <v>0.76086371289166055</v>
      </c>
      <c r="J317" s="80" t="s">
        <v>276</v>
      </c>
      <c r="K317" s="510"/>
      <c r="L317" s="62">
        <v>6.7000000000000004E-2</v>
      </c>
      <c r="M317" s="80" t="s">
        <v>276</v>
      </c>
      <c r="N317" s="513"/>
      <c r="O317" s="35" t="s">
        <v>2026</v>
      </c>
      <c r="P317" s="237" t="s">
        <v>256</v>
      </c>
      <c r="S317" s="35" t="s">
        <v>2023</v>
      </c>
      <c r="T317" s="35" t="s">
        <v>1973</v>
      </c>
      <c r="U317" s="35" t="s">
        <v>1777</v>
      </c>
      <c r="V317" s="35" t="s">
        <v>1673</v>
      </c>
      <c r="W317" s="35" t="s">
        <v>1778</v>
      </c>
      <c r="X317" s="496"/>
      <c r="Y317" s="149" t="s">
        <v>276</v>
      </c>
      <c r="Z317" s="150">
        <v>25000</v>
      </c>
      <c r="AA317" s="35" t="s">
        <v>1946</v>
      </c>
      <c r="AB317" s="239" t="s">
        <v>256</v>
      </c>
    </row>
    <row r="318" spans="2:28" ht="12.75">
      <c r="B318" s="53" t="s">
        <v>2023</v>
      </c>
      <c r="C318" s="53" t="s">
        <v>1973</v>
      </c>
      <c r="D318" s="54" t="s">
        <v>1777</v>
      </c>
      <c r="E318" s="53" t="s">
        <v>1673</v>
      </c>
      <c r="F318" s="53" t="s">
        <v>1781</v>
      </c>
      <c r="G318" s="55">
        <v>1.8100000000000002E-3</v>
      </c>
      <c r="H318" s="53">
        <v>0.61</v>
      </c>
      <c r="I318" s="78">
        <v>0.76086371289166055</v>
      </c>
      <c r="J318" s="82" t="s">
        <v>274</v>
      </c>
      <c r="K318" s="509">
        <v>0.76086371289166055</v>
      </c>
      <c r="L318" s="62">
        <v>6.7000000000000004E-2</v>
      </c>
      <c r="M318" s="82" t="s">
        <v>274</v>
      </c>
      <c r="N318" s="512" t="s">
        <v>2025</v>
      </c>
      <c r="O318" s="53" t="s">
        <v>1523</v>
      </c>
      <c r="P318" s="235" t="s">
        <v>275</v>
      </c>
      <c r="S318" s="53" t="s">
        <v>2023</v>
      </c>
      <c r="T318" s="53" t="s">
        <v>1973</v>
      </c>
      <c r="U318" s="54" t="s">
        <v>1777</v>
      </c>
      <c r="V318" s="53" t="s">
        <v>1673</v>
      </c>
      <c r="W318" s="53" t="s">
        <v>1781</v>
      </c>
      <c r="X318" s="501">
        <v>20000</v>
      </c>
      <c r="Y318" s="167" t="s">
        <v>274</v>
      </c>
      <c r="Z318" s="168">
        <v>15000</v>
      </c>
      <c r="AA318" s="53" t="s">
        <v>1943</v>
      </c>
      <c r="AB318" s="238" t="s">
        <v>275</v>
      </c>
    </row>
    <row r="319" spans="2:28" ht="12.75">
      <c r="B319" s="53" t="s">
        <v>2023</v>
      </c>
      <c r="C319" s="53" t="s">
        <v>1973</v>
      </c>
      <c r="D319" s="54" t="s">
        <v>1777</v>
      </c>
      <c r="E319" s="53" t="s">
        <v>1673</v>
      </c>
      <c r="F319" s="53" t="s">
        <v>1781</v>
      </c>
      <c r="G319" s="55">
        <v>1.8100000000000002E-3</v>
      </c>
      <c r="H319" s="53">
        <v>0.61</v>
      </c>
      <c r="I319" s="78">
        <v>0.76086371289166055</v>
      </c>
      <c r="J319" s="82" t="s">
        <v>276</v>
      </c>
      <c r="K319" s="509"/>
      <c r="L319" s="62">
        <v>6.7000000000000004E-2</v>
      </c>
      <c r="M319" s="82" t="s">
        <v>274</v>
      </c>
      <c r="N319" s="512"/>
      <c r="O319" s="53" t="s">
        <v>1944</v>
      </c>
      <c r="P319" s="236" t="s">
        <v>277</v>
      </c>
      <c r="S319" s="53" t="s">
        <v>2023</v>
      </c>
      <c r="T319" s="53" t="s">
        <v>1973</v>
      </c>
      <c r="U319" s="54" t="s">
        <v>1777</v>
      </c>
      <c r="V319" s="53" t="s">
        <v>1673</v>
      </c>
      <c r="W319" s="53" t="s">
        <v>1781</v>
      </c>
      <c r="X319" s="501"/>
      <c r="Y319" s="169" t="s">
        <v>276</v>
      </c>
      <c r="Z319" s="170">
        <v>15000</v>
      </c>
      <c r="AA319" s="489" t="s">
        <v>1944</v>
      </c>
      <c r="AB319" s="490" t="s">
        <v>277</v>
      </c>
    </row>
    <row r="320" spans="2:28" ht="12.75">
      <c r="B320" s="53" t="s">
        <v>2023</v>
      </c>
      <c r="C320" s="53" t="s">
        <v>1973</v>
      </c>
      <c r="D320" s="54" t="s">
        <v>1777</v>
      </c>
      <c r="E320" s="53" t="s">
        <v>1673</v>
      </c>
      <c r="F320" s="53" t="s">
        <v>1781</v>
      </c>
      <c r="G320" s="55">
        <v>1.8100000000000002E-3</v>
      </c>
      <c r="H320" s="53">
        <v>0.61</v>
      </c>
      <c r="I320" s="78">
        <v>0.76086371289166055</v>
      </c>
      <c r="J320" s="82" t="s">
        <v>274</v>
      </c>
      <c r="K320" s="509"/>
      <c r="L320" s="62">
        <v>6.7000000000000004E-2</v>
      </c>
      <c r="M320" s="82" t="s">
        <v>276</v>
      </c>
      <c r="N320" s="512"/>
      <c r="O320" s="53" t="s">
        <v>1944</v>
      </c>
      <c r="P320" s="236" t="s">
        <v>277</v>
      </c>
      <c r="S320" s="53" t="s">
        <v>2023</v>
      </c>
      <c r="T320" s="53" t="s">
        <v>1973</v>
      </c>
      <c r="U320" s="54" t="s">
        <v>1777</v>
      </c>
      <c r="V320" s="53" t="s">
        <v>1673</v>
      </c>
      <c r="W320" s="53" t="s">
        <v>1781</v>
      </c>
      <c r="X320" s="501"/>
      <c r="Y320" s="171" t="s">
        <v>274</v>
      </c>
      <c r="Z320" s="172">
        <v>25000</v>
      </c>
      <c r="AA320" s="489"/>
      <c r="AB320" s="490"/>
    </row>
    <row r="321" spans="2:28" ht="12.75">
      <c r="B321" s="53" t="s">
        <v>2023</v>
      </c>
      <c r="C321" s="53" t="s">
        <v>1973</v>
      </c>
      <c r="D321" s="54" t="s">
        <v>1777</v>
      </c>
      <c r="E321" s="53" t="s">
        <v>1673</v>
      </c>
      <c r="F321" s="53" t="s">
        <v>1781</v>
      </c>
      <c r="G321" s="55">
        <v>1.8100000000000002E-3</v>
      </c>
      <c r="H321" s="53">
        <v>0.61</v>
      </c>
      <c r="I321" s="78">
        <v>0.76086371289166055</v>
      </c>
      <c r="J321" s="82" t="s">
        <v>276</v>
      </c>
      <c r="K321" s="509"/>
      <c r="L321" s="62">
        <v>6.7000000000000004E-2</v>
      </c>
      <c r="M321" s="82" t="s">
        <v>276</v>
      </c>
      <c r="N321" s="512"/>
      <c r="O321" s="53" t="s">
        <v>1945</v>
      </c>
      <c r="P321" s="237" t="s">
        <v>256</v>
      </c>
      <c r="S321" s="53" t="s">
        <v>2023</v>
      </c>
      <c r="T321" s="53" t="s">
        <v>1973</v>
      </c>
      <c r="U321" s="54" t="s">
        <v>1777</v>
      </c>
      <c r="V321" s="53" t="s">
        <v>1673</v>
      </c>
      <c r="W321" s="53" t="s">
        <v>1781</v>
      </c>
      <c r="X321" s="501"/>
      <c r="Y321" s="167" t="s">
        <v>276</v>
      </c>
      <c r="Z321" s="168">
        <v>25000</v>
      </c>
      <c r="AA321" s="53" t="s">
        <v>1946</v>
      </c>
      <c r="AB321" s="239" t="s">
        <v>256</v>
      </c>
    </row>
    <row r="322" spans="2:28" ht="12.75">
      <c r="B322" s="35" t="s">
        <v>2023</v>
      </c>
      <c r="C322" s="35" t="s">
        <v>1973</v>
      </c>
      <c r="D322" s="35" t="s">
        <v>1777</v>
      </c>
      <c r="E322" s="35" t="s">
        <v>1673</v>
      </c>
      <c r="F322" s="35" t="s">
        <v>1799</v>
      </c>
      <c r="G322" s="35">
        <v>1.8100000000000002E-3</v>
      </c>
      <c r="H322" s="35">
        <v>0.61</v>
      </c>
      <c r="I322" s="78">
        <v>0.80641093863883972</v>
      </c>
      <c r="J322" s="80" t="s">
        <v>274</v>
      </c>
      <c r="K322" s="510">
        <v>0.76086371289166055</v>
      </c>
      <c r="L322" s="62">
        <v>6.7000000000000004E-2</v>
      </c>
      <c r="M322" s="80" t="s">
        <v>274</v>
      </c>
      <c r="N322" s="513" t="s">
        <v>2025</v>
      </c>
      <c r="O322" s="35" t="s">
        <v>1523</v>
      </c>
      <c r="P322" s="235" t="s">
        <v>275</v>
      </c>
      <c r="S322" s="35" t="s">
        <v>2023</v>
      </c>
      <c r="T322" s="35" t="s">
        <v>1973</v>
      </c>
      <c r="U322" s="35" t="s">
        <v>1777</v>
      </c>
      <c r="V322" s="35" t="s">
        <v>1673</v>
      </c>
      <c r="W322" s="35" t="s">
        <v>1799</v>
      </c>
      <c r="X322" s="496">
        <v>22000</v>
      </c>
      <c r="Y322" s="149" t="s">
        <v>274</v>
      </c>
      <c r="Z322" s="150">
        <v>16500</v>
      </c>
      <c r="AA322" s="35" t="s">
        <v>1943</v>
      </c>
      <c r="AB322" s="238" t="s">
        <v>275</v>
      </c>
    </row>
    <row r="323" spans="2:28" ht="12.75">
      <c r="B323" s="35" t="s">
        <v>2023</v>
      </c>
      <c r="C323" s="35" t="s">
        <v>1973</v>
      </c>
      <c r="D323" s="35" t="s">
        <v>1777</v>
      </c>
      <c r="E323" s="35" t="s">
        <v>1673</v>
      </c>
      <c r="F323" s="35" t="s">
        <v>1799</v>
      </c>
      <c r="G323" s="35">
        <v>1.8100000000000002E-3</v>
      </c>
      <c r="H323" s="35">
        <v>0.61</v>
      </c>
      <c r="I323" s="78">
        <v>0.80641093863883972</v>
      </c>
      <c r="J323" s="80" t="s">
        <v>276</v>
      </c>
      <c r="K323" s="510"/>
      <c r="L323" s="62">
        <v>6.7000000000000004E-2</v>
      </c>
      <c r="M323" s="80" t="s">
        <v>274</v>
      </c>
      <c r="N323" s="513"/>
      <c r="O323" s="35" t="s">
        <v>1944</v>
      </c>
      <c r="P323" s="236" t="s">
        <v>277</v>
      </c>
      <c r="S323" s="35" t="s">
        <v>2023</v>
      </c>
      <c r="T323" s="35" t="s">
        <v>1973</v>
      </c>
      <c r="U323" s="35" t="s">
        <v>1777</v>
      </c>
      <c r="V323" s="35" t="s">
        <v>1673</v>
      </c>
      <c r="W323" s="35" t="s">
        <v>1799</v>
      </c>
      <c r="X323" s="496"/>
      <c r="Y323" s="151" t="s">
        <v>276</v>
      </c>
      <c r="Z323" s="152">
        <v>16500</v>
      </c>
      <c r="AA323" s="491" t="s">
        <v>1944</v>
      </c>
      <c r="AB323" s="490" t="s">
        <v>277</v>
      </c>
    </row>
    <row r="324" spans="2:28" ht="12.75">
      <c r="B324" s="35" t="s">
        <v>2023</v>
      </c>
      <c r="C324" s="35" t="s">
        <v>1973</v>
      </c>
      <c r="D324" s="35" t="s">
        <v>1777</v>
      </c>
      <c r="E324" s="35" t="s">
        <v>1673</v>
      </c>
      <c r="F324" s="35" t="s">
        <v>1799</v>
      </c>
      <c r="G324" s="35">
        <v>1.8100000000000002E-3</v>
      </c>
      <c r="H324" s="35">
        <v>0.61</v>
      </c>
      <c r="I324" s="78">
        <v>0.80641093863883972</v>
      </c>
      <c r="J324" s="80" t="s">
        <v>274</v>
      </c>
      <c r="K324" s="510"/>
      <c r="L324" s="62">
        <v>6.7000000000000004E-2</v>
      </c>
      <c r="M324" s="80" t="s">
        <v>276</v>
      </c>
      <c r="N324" s="513"/>
      <c r="O324" s="35" t="s">
        <v>1944</v>
      </c>
      <c r="P324" s="236" t="s">
        <v>277</v>
      </c>
      <c r="S324" s="35" t="s">
        <v>2023</v>
      </c>
      <c r="T324" s="35" t="s">
        <v>1973</v>
      </c>
      <c r="U324" s="35" t="s">
        <v>1777</v>
      </c>
      <c r="V324" s="35" t="s">
        <v>1673</v>
      </c>
      <c r="W324" s="35" t="s">
        <v>1799</v>
      </c>
      <c r="X324" s="496"/>
      <c r="Y324" s="153" t="s">
        <v>274</v>
      </c>
      <c r="Z324" s="154">
        <v>27500</v>
      </c>
      <c r="AA324" s="491"/>
      <c r="AB324" s="490"/>
    </row>
    <row r="325" spans="2:28" ht="12.75">
      <c r="B325" s="35" t="s">
        <v>2023</v>
      </c>
      <c r="C325" s="35" t="s">
        <v>1973</v>
      </c>
      <c r="D325" s="35" t="s">
        <v>1777</v>
      </c>
      <c r="E325" s="35" t="s">
        <v>1673</v>
      </c>
      <c r="F325" s="35" t="s">
        <v>1799</v>
      </c>
      <c r="G325" s="35">
        <v>1.8100000000000002E-3</v>
      </c>
      <c r="H325" s="35">
        <v>0.61</v>
      </c>
      <c r="I325" s="78">
        <v>0.80641093863883972</v>
      </c>
      <c r="J325" s="80" t="s">
        <v>276</v>
      </c>
      <c r="K325" s="510"/>
      <c r="L325" s="62">
        <v>6.7000000000000004E-2</v>
      </c>
      <c r="M325" s="80" t="s">
        <v>276</v>
      </c>
      <c r="N325" s="513"/>
      <c r="O325" s="35" t="s">
        <v>2026</v>
      </c>
      <c r="P325" s="237" t="s">
        <v>256</v>
      </c>
      <c r="S325" s="35" t="s">
        <v>2023</v>
      </c>
      <c r="T325" s="35" t="s">
        <v>1973</v>
      </c>
      <c r="U325" s="35" t="s">
        <v>1777</v>
      </c>
      <c r="V325" s="35" t="s">
        <v>1673</v>
      </c>
      <c r="W325" s="35" t="s">
        <v>1799</v>
      </c>
      <c r="X325" s="496"/>
      <c r="Y325" s="149" t="s">
        <v>276</v>
      </c>
      <c r="Z325" s="150">
        <v>27500</v>
      </c>
      <c r="AA325" s="35" t="s">
        <v>1946</v>
      </c>
      <c r="AB325" s="239" t="s">
        <v>256</v>
      </c>
    </row>
    <row r="326" spans="2:28" ht="12.75">
      <c r="B326" s="22" t="s">
        <v>2023</v>
      </c>
      <c r="C326" s="22" t="s">
        <v>1973</v>
      </c>
      <c r="D326" s="60" t="s">
        <v>258</v>
      </c>
      <c r="E326" s="22" t="s">
        <v>256</v>
      </c>
      <c r="F326" s="22" t="s">
        <v>256</v>
      </c>
      <c r="G326" s="61" t="s">
        <v>2027</v>
      </c>
      <c r="H326" s="22">
        <v>0.61</v>
      </c>
      <c r="I326" s="78">
        <v>0.3580497314339619</v>
      </c>
      <c r="J326" s="81" t="s">
        <v>274</v>
      </c>
      <c r="K326" s="511">
        <v>0.76086371289166055</v>
      </c>
      <c r="L326" s="62">
        <v>4.2999999999999997E-2</v>
      </c>
      <c r="M326" s="81" t="s">
        <v>274</v>
      </c>
      <c r="N326" s="514" t="s">
        <v>2025</v>
      </c>
      <c r="O326" s="22" t="s">
        <v>1523</v>
      </c>
      <c r="P326" s="235" t="s">
        <v>275</v>
      </c>
      <c r="S326" s="22" t="s">
        <v>2023</v>
      </c>
      <c r="T326" s="22" t="s">
        <v>1973</v>
      </c>
      <c r="U326" s="60" t="s">
        <v>258</v>
      </c>
      <c r="V326" s="22" t="s">
        <v>256</v>
      </c>
      <c r="W326" s="22" t="s">
        <v>256</v>
      </c>
      <c r="X326" s="497">
        <v>10000</v>
      </c>
      <c r="Y326" s="155" t="s">
        <v>274</v>
      </c>
      <c r="Z326" s="156">
        <v>7500</v>
      </c>
      <c r="AA326" s="22" t="s">
        <v>1943</v>
      </c>
      <c r="AB326" s="238" t="s">
        <v>275</v>
      </c>
    </row>
    <row r="327" spans="2:28" ht="12.75">
      <c r="B327" s="22" t="s">
        <v>2023</v>
      </c>
      <c r="C327" s="22" t="s">
        <v>1973</v>
      </c>
      <c r="D327" s="60" t="s">
        <v>258</v>
      </c>
      <c r="E327" s="22" t="s">
        <v>256</v>
      </c>
      <c r="F327" s="22" t="s">
        <v>256</v>
      </c>
      <c r="G327" s="61" t="s">
        <v>2027</v>
      </c>
      <c r="H327" s="22">
        <v>0.61</v>
      </c>
      <c r="I327" s="78">
        <v>0.3580497314339619</v>
      </c>
      <c r="J327" s="81" t="s">
        <v>276</v>
      </c>
      <c r="K327" s="511"/>
      <c r="L327" s="62">
        <v>4.2999999999999997E-2</v>
      </c>
      <c r="M327" s="81" t="s">
        <v>274</v>
      </c>
      <c r="N327" s="514"/>
      <c r="O327" s="22" t="s">
        <v>1944</v>
      </c>
      <c r="P327" s="236" t="s">
        <v>277</v>
      </c>
      <c r="S327" s="22" t="s">
        <v>2023</v>
      </c>
      <c r="T327" s="22" t="s">
        <v>1973</v>
      </c>
      <c r="U327" s="60" t="s">
        <v>258</v>
      </c>
      <c r="V327" s="22" t="s">
        <v>256</v>
      </c>
      <c r="W327" s="22" t="s">
        <v>256</v>
      </c>
      <c r="X327" s="497"/>
      <c r="Y327" s="157" t="s">
        <v>276</v>
      </c>
      <c r="Z327" s="158">
        <v>7500</v>
      </c>
      <c r="AA327" s="492" t="s">
        <v>1944</v>
      </c>
      <c r="AB327" s="490" t="s">
        <v>277</v>
      </c>
    </row>
    <row r="328" spans="2:28" ht="12.75">
      <c r="B328" s="22" t="s">
        <v>2023</v>
      </c>
      <c r="C328" s="22" t="s">
        <v>1973</v>
      </c>
      <c r="D328" s="60" t="s">
        <v>258</v>
      </c>
      <c r="E328" s="22" t="s">
        <v>256</v>
      </c>
      <c r="F328" s="22" t="s">
        <v>256</v>
      </c>
      <c r="G328" s="61">
        <v>1.3000000000000002E-3</v>
      </c>
      <c r="H328" s="22">
        <v>0.61</v>
      </c>
      <c r="I328" s="78">
        <v>0.3580497314339619</v>
      </c>
      <c r="J328" s="81" t="s">
        <v>274</v>
      </c>
      <c r="K328" s="511"/>
      <c r="L328" s="62">
        <v>4.2999999999999997E-2</v>
      </c>
      <c r="M328" s="81" t="s">
        <v>276</v>
      </c>
      <c r="N328" s="514"/>
      <c r="O328" s="22" t="s">
        <v>1944</v>
      </c>
      <c r="P328" s="236" t="s">
        <v>277</v>
      </c>
      <c r="S328" s="22" t="s">
        <v>2023</v>
      </c>
      <c r="T328" s="22" t="s">
        <v>1973</v>
      </c>
      <c r="U328" s="60" t="s">
        <v>258</v>
      </c>
      <c r="V328" s="22" t="s">
        <v>256</v>
      </c>
      <c r="W328" s="22" t="s">
        <v>256</v>
      </c>
      <c r="X328" s="497"/>
      <c r="Y328" s="159" t="s">
        <v>274</v>
      </c>
      <c r="Z328" s="160">
        <v>12500</v>
      </c>
      <c r="AA328" s="492"/>
      <c r="AB328" s="490"/>
    </row>
    <row r="329" spans="2:28" ht="12.75">
      <c r="B329" s="22" t="s">
        <v>2023</v>
      </c>
      <c r="C329" s="22" t="s">
        <v>1973</v>
      </c>
      <c r="D329" s="60" t="s">
        <v>258</v>
      </c>
      <c r="E329" s="22" t="s">
        <v>256</v>
      </c>
      <c r="F329" s="22" t="s">
        <v>256</v>
      </c>
      <c r="G329" s="61">
        <v>1.3000000000000002E-3</v>
      </c>
      <c r="H329" s="22">
        <v>0.61</v>
      </c>
      <c r="I329" s="78">
        <v>0.3580497314339619</v>
      </c>
      <c r="J329" s="81" t="s">
        <v>276</v>
      </c>
      <c r="K329" s="511"/>
      <c r="L329" s="62">
        <v>4.2999999999999997E-2</v>
      </c>
      <c r="M329" s="81" t="s">
        <v>276</v>
      </c>
      <c r="N329" s="514"/>
      <c r="O329" s="22" t="s">
        <v>1945</v>
      </c>
      <c r="P329" s="237" t="s">
        <v>256</v>
      </c>
      <c r="S329" s="22" t="s">
        <v>2023</v>
      </c>
      <c r="T329" s="22" t="s">
        <v>1973</v>
      </c>
      <c r="U329" s="60" t="s">
        <v>258</v>
      </c>
      <c r="V329" s="22" t="s">
        <v>256</v>
      </c>
      <c r="W329" s="22" t="s">
        <v>256</v>
      </c>
      <c r="X329" s="497"/>
      <c r="Y329" s="155" t="s">
        <v>276</v>
      </c>
      <c r="Z329" s="156">
        <v>12500</v>
      </c>
      <c r="AA329" s="22" t="s">
        <v>1946</v>
      </c>
      <c r="AB329" s="239" t="s">
        <v>256</v>
      </c>
    </row>
    <row r="330" spans="2:28" ht="12.75">
      <c r="B330" s="53" t="s">
        <v>2023</v>
      </c>
      <c r="C330" s="53" t="s">
        <v>1998</v>
      </c>
      <c r="D330" s="54" t="s">
        <v>1777</v>
      </c>
      <c r="E330" s="53" t="s">
        <v>1674</v>
      </c>
      <c r="F330" s="53" t="s">
        <v>1778</v>
      </c>
      <c r="G330" s="55" t="s">
        <v>2028</v>
      </c>
      <c r="H330" s="53">
        <v>0.61</v>
      </c>
      <c r="I330" s="78">
        <v>0.38225189417616451</v>
      </c>
      <c r="J330" s="82" t="s">
        <v>274</v>
      </c>
      <c r="K330" s="509">
        <v>0.40762584809404889</v>
      </c>
      <c r="L330" s="62">
        <v>8.5000000000000006E-2</v>
      </c>
      <c r="M330" s="82" t="s">
        <v>274</v>
      </c>
      <c r="N330" s="512" t="s">
        <v>2029</v>
      </c>
      <c r="O330" s="53" t="s">
        <v>1523</v>
      </c>
      <c r="P330" s="235" t="s">
        <v>275</v>
      </c>
      <c r="S330" s="53" t="s">
        <v>2023</v>
      </c>
      <c r="T330" s="53" t="s">
        <v>1998</v>
      </c>
      <c r="U330" s="54" t="s">
        <v>1777</v>
      </c>
      <c r="V330" s="53" t="s">
        <v>1674</v>
      </c>
      <c r="W330" s="53" t="s">
        <v>1778</v>
      </c>
      <c r="X330" s="501">
        <v>9000</v>
      </c>
      <c r="Y330" s="167" t="s">
        <v>274</v>
      </c>
      <c r="Z330" s="168">
        <v>6750</v>
      </c>
      <c r="AA330" s="53" t="s">
        <v>1943</v>
      </c>
      <c r="AB330" s="238" t="s">
        <v>275</v>
      </c>
    </row>
    <row r="331" spans="2:28" ht="12.75">
      <c r="B331" s="53" t="s">
        <v>2023</v>
      </c>
      <c r="C331" s="53" t="s">
        <v>1998</v>
      </c>
      <c r="D331" s="54" t="s">
        <v>1777</v>
      </c>
      <c r="E331" s="53" t="s">
        <v>1674</v>
      </c>
      <c r="F331" s="53" t="s">
        <v>1778</v>
      </c>
      <c r="G331" s="55" t="s">
        <v>2028</v>
      </c>
      <c r="H331" s="53">
        <v>0.61</v>
      </c>
      <c r="I331" s="78">
        <v>0.38225189417616451</v>
      </c>
      <c r="J331" s="82" t="s">
        <v>276</v>
      </c>
      <c r="K331" s="509"/>
      <c r="L331" s="62">
        <v>8.5000000000000006E-2</v>
      </c>
      <c r="M331" s="82" t="s">
        <v>274</v>
      </c>
      <c r="N331" s="512"/>
      <c r="O331" s="53" t="s">
        <v>1944</v>
      </c>
      <c r="P331" s="236" t="s">
        <v>277</v>
      </c>
      <c r="S331" s="53" t="s">
        <v>2023</v>
      </c>
      <c r="T331" s="53" t="s">
        <v>1998</v>
      </c>
      <c r="U331" s="54" t="s">
        <v>1777</v>
      </c>
      <c r="V331" s="53" t="s">
        <v>1674</v>
      </c>
      <c r="W331" s="53" t="s">
        <v>1778</v>
      </c>
      <c r="X331" s="501"/>
      <c r="Y331" s="169" t="s">
        <v>276</v>
      </c>
      <c r="Z331" s="170">
        <v>6750</v>
      </c>
      <c r="AA331" s="489" t="s">
        <v>1944</v>
      </c>
      <c r="AB331" s="490" t="s">
        <v>277</v>
      </c>
    </row>
    <row r="332" spans="2:28" ht="12.75">
      <c r="B332" s="53" t="s">
        <v>2023</v>
      </c>
      <c r="C332" s="53" t="s">
        <v>1998</v>
      </c>
      <c r="D332" s="54" t="s">
        <v>1777</v>
      </c>
      <c r="E332" s="53" t="s">
        <v>1674</v>
      </c>
      <c r="F332" s="53" t="s">
        <v>1778</v>
      </c>
      <c r="G332" s="55">
        <v>1.48E-3</v>
      </c>
      <c r="H332" s="53">
        <v>0.61</v>
      </c>
      <c r="I332" s="78">
        <v>0.38225189417616451</v>
      </c>
      <c r="J332" s="82" t="s">
        <v>274</v>
      </c>
      <c r="K332" s="509"/>
      <c r="L332" s="62">
        <v>8.5000000000000006E-2</v>
      </c>
      <c r="M332" s="82" t="s">
        <v>276</v>
      </c>
      <c r="N332" s="512"/>
      <c r="O332" s="53" t="s">
        <v>1944</v>
      </c>
      <c r="P332" s="236" t="s">
        <v>277</v>
      </c>
      <c r="S332" s="53" t="s">
        <v>2023</v>
      </c>
      <c r="T332" s="53" t="s">
        <v>1998</v>
      </c>
      <c r="U332" s="54" t="s">
        <v>1777</v>
      </c>
      <c r="V332" s="53" t="s">
        <v>1674</v>
      </c>
      <c r="W332" s="53" t="s">
        <v>1778</v>
      </c>
      <c r="X332" s="501"/>
      <c r="Y332" s="171" t="s">
        <v>274</v>
      </c>
      <c r="Z332" s="172">
        <v>11250</v>
      </c>
      <c r="AA332" s="489"/>
      <c r="AB332" s="490"/>
    </row>
    <row r="333" spans="2:28" ht="12.75">
      <c r="B333" s="53" t="s">
        <v>2023</v>
      </c>
      <c r="C333" s="53" t="s">
        <v>1998</v>
      </c>
      <c r="D333" s="54" t="s">
        <v>1777</v>
      </c>
      <c r="E333" s="53" t="s">
        <v>1674</v>
      </c>
      <c r="F333" s="53" t="s">
        <v>1778</v>
      </c>
      <c r="G333" s="55">
        <v>1.48E-3</v>
      </c>
      <c r="H333" s="53">
        <v>0.61</v>
      </c>
      <c r="I333" s="78">
        <v>0.38225189417616451</v>
      </c>
      <c r="J333" s="82" t="s">
        <v>276</v>
      </c>
      <c r="K333" s="509"/>
      <c r="L333" s="62">
        <v>8.5000000000000006E-2</v>
      </c>
      <c r="M333" s="82" t="s">
        <v>276</v>
      </c>
      <c r="N333" s="512"/>
      <c r="O333" s="53" t="s">
        <v>1945</v>
      </c>
      <c r="P333" s="237" t="s">
        <v>256</v>
      </c>
      <c r="S333" s="53" t="s">
        <v>2023</v>
      </c>
      <c r="T333" s="53" t="s">
        <v>1998</v>
      </c>
      <c r="U333" s="54" t="s">
        <v>1777</v>
      </c>
      <c r="V333" s="53" t="s">
        <v>1674</v>
      </c>
      <c r="W333" s="53" t="s">
        <v>1778</v>
      </c>
      <c r="X333" s="501"/>
      <c r="Y333" s="167" t="s">
        <v>276</v>
      </c>
      <c r="Z333" s="168">
        <v>11250</v>
      </c>
      <c r="AA333" s="53" t="s">
        <v>1946</v>
      </c>
      <c r="AB333" s="239" t="s">
        <v>256</v>
      </c>
    </row>
    <row r="334" spans="2:28" ht="12.75">
      <c r="B334" s="35" t="s">
        <v>2023</v>
      </c>
      <c r="C334" s="35" t="s">
        <v>1998</v>
      </c>
      <c r="D334" s="35" t="s">
        <v>1777</v>
      </c>
      <c r="E334" s="35" t="s">
        <v>1674</v>
      </c>
      <c r="F334" s="35" t="s">
        <v>1781</v>
      </c>
      <c r="G334" s="35">
        <v>1.48E-3</v>
      </c>
      <c r="H334" s="35">
        <v>0.61</v>
      </c>
      <c r="I334" s="78">
        <v>0.38225189417616451</v>
      </c>
      <c r="J334" s="80" t="s">
        <v>274</v>
      </c>
      <c r="K334" s="510">
        <v>0.40762584809404889</v>
      </c>
      <c r="L334" s="62">
        <v>6.9000000000000006E-2</v>
      </c>
      <c r="M334" s="80" t="s">
        <v>274</v>
      </c>
      <c r="N334" s="513" t="s">
        <v>2029</v>
      </c>
      <c r="O334" s="35" t="s">
        <v>1523</v>
      </c>
      <c r="P334" s="235" t="s">
        <v>275</v>
      </c>
      <c r="S334" s="35" t="s">
        <v>2023</v>
      </c>
      <c r="T334" s="35" t="s">
        <v>1998</v>
      </c>
      <c r="U334" s="35" t="s">
        <v>1777</v>
      </c>
      <c r="V334" s="35" t="s">
        <v>1674</v>
      </c>
      <c r="W334" s="35" t="s">
        <v>1781</v>
      </c>
      <c r="X334" s="496">
        <v>9000</v>
      </c>
      <c r="Y334" s="149" t="s">
        <v>274</v>
      </c>
      <c r="Z334" s="150">
        <v>6750</v>
      </c>
      <c r="AA334" s="35" t="s">
        <v>1943</v>
      </c>
      <c r="AB334" s="238" t="s">
        <v>275</v>
      </c>
    </row>
    <row r="335" spans="2:28" ht="12.75">
      <c r="B335" s="35" t="s">
        <v>2023</v>
      </c>
      <c r="C335" s="35" t="s">
        <v>1998</v>
      </c>
      <c r="D335" s="35" t="s">
        <v>1777</v>
      </c>
      <c r="E335" s="35" t="s">
        <v>1674</v>
      </c>
      <c r="F335" s="35" t="s">
        <v>1781</v>
      </c>
      <c r="G335" s="35">
        <v>1.48E-3</v>
      </c>
      <c r="H335" s="35">
        <v>0.61</v>
      </c>
      <c r="I335" s="78">
        <v>0.38225189417616451</v>
      </c>
      <c r="J335" s="80" t="s">
        <v>276</v>
      </c>
      <c r="K335" s="510"/>
      <c r="L335" s="62">
        <v>6.9000000000000006E-2</v>
      </c>
      <c r="M335" s="80" t="s">
        <v>274</v>
      </c>
      <c r="N335" s="513"/>
      <c r="O335" s="35" t="s">
        <v>1944</v>
      </c>
      <c r="P335" s="236" t="s">
        <v>277</v>
      </c>
      <c r="S335" s="35" t="s">
        <v>2023</v>
      </c>
      <c r="T335" s="35" t="s">
        <v>1998</v>
      </c>
      <c r="U335" s="35" t="s">
        <v>1777</v>
      </c>
      <c r="V335" s="35" t="s">
        <v>1674</v>
      </c>
      <c r="W335" s="35" t="s">
        <v>1781</v>
      </c>
      <c r="X335" s="496"/>
      <c r="Y335" s="151" t="s">
        <v>276</v>
      </c>
      <c r="Z335" s="152">
        <v>6750</v>
      </c>
      <c r="AA335" s="491" t="s">
        <v>1944</v>
      </c>
      <c r="AB335" s="490" t="s">
        <v>277</v>
      </c>
    </row>
    <row r="336" spans="2:28" ht="12.75">
      <c r="B336" s="35" t="s">
        <v>2023</v>
      </c>
      <c r="C336" s="35" t="s">
        <v>1998</v>
      </c>
      <c r="D336" s="35" t="s">
        <v>1777</v>
      </c>
      <c r="E336" s="35" t="s">
        <v>1674</v>
      </c>
      <c r="F336" s="35" t="s">
        <v>1781</v>
      </c>
      <c r="G336" s="35">
        <v>1.48E-3</v>
      </c>
      <c r="H336" s="35">
        <v>0.61</v>
      </c>
      <c r="I336" s="78">
        <v>0.38225189417616451</v>
      </c>
      <c r="J336" s="80" t="s">
        <v>274</v>
      </c>
      <c r="K336" s="510"/>
      <c r="L336" s="62">
        <v>6.9000000000000006E-2</v>
      </c>
      <c r="M336" s="80" t="s">
        <v>276</v>
      </c>
      <c r="N336" s="513"/>
      <c r="O336" s="35" t="s">
        <v>1944</v>
      </c>
      <c r="P336" s="236" t="s">
        <v>277</v>
      </c>
      <c r="S336" s="35" t="s">
        <v>2023</v>
      </c>
      <c r="T336" s="35" t="s">
        <v>1998</v>
      </c>
      <c r="U336" s="35" t="s">
        <v>1777</v>
      </c>
      <c r="V336" s="35" t="s">
        <v>1674</v>
      </c>
      <c r="W336" s="35" t="s">
        <v>1781</v>
      </c>
      <c r="X336" s="496"/>
      <c r="Y336" s="153" t="s">
        <v>274</v>
      </c>
      <c r="Z336" s="154">
        <v>11250</v>
      </c>
      <c r="AA336" s="491"/>
      <c r="AB336" s="490"/>
    </row>
    <row r="337" spans="2:28" ht="12.75">
      <c r="B337" s="35" t="s">
        <v>2023</v>
      </c>
      <c r="C337" s="35" t="s">
        <v>1998</v>
      </c>
      <c r="D337" s="35" t="s">
        <v>1777</v>
      </c>
      <c r="E337" s="35" t="s">
        <v>1674</v>
      </c>
      <c r="F337" s="35" t="s">
        <v>1781</v>
      </c>
      <c r="G337" s="35">
        <v>1.48E-3</v>
      </c>
      <c r="H337" s="35">
        <v>0.61</v>
      </c>
      <c r="I337" s="78">
        <v>0.38225189417616451</v>
      </c>
      <c r="J337" s="80" t="s">
        <v>276</v>
      </c>
      <c r="K337" s="510"/>
      <c r="L337" s="62">
        <v>6.9000000000000006E-2</v>
      </c>
      <c r="M337" s="80" t="s">
        <v>276</v>
      </c>
      <c r="N337" s="513"/>
      <c r="O337" s="35" t="s">
        <v>2026</v>
      </c>
      <c r="P337" s="237" t="s">
        <v>256</v>
      </c>
      <c r="S337" s="35" t="s">
        <v>2023</v>
      </c>
      <c r="T337" s="35" t="s">
        <v>1998</v>
      </c>
      <c r="U337" s="35" t="s">
        <v>1777</v>
      </c>
      <c r="V337" s="35" t="s">
        <v>1674</v>
      </c>
      <c r="W337" s="35" t="s">
        <v>1781</v>
      </c>
      <c r="X337" s="496"/>
      <c r="Y337" s="149" t="s">
        <v>276</v>
      </c>
      <c r="Z337" s="150">
        <v>11250</v>
      </c>
      <c r="AA337" s="35" t="s">
        <v>1946</v>
      </c>
      <c r="AB337" s="239" t="s">
        <v>256</v>
      </c>
    </row>
    <row r="338" spans="2:28" ht="12.75">
      <c r="B338" s="53" t="s">
        <v>2023</v>
      </c>
      <c r="C338" s="53" t="s">
        <v>1998</v>
      </c>
      <c r="D338" s="54" t="s">
        <v>1777</v>
      </c>
      <c r="E338" s="53" t="s">
        <v>1674</v>
      </c>
      <c r="F338" s="53" t="s">
        <v>1799</v>
      </c>
      <c r="G338" s="55">
        <v>1.48E-3</v>
      </c>
      <c r="H338" s="53">
        <v>0.61</v>
      </c>
      <c r="I338" s="78">
        <v>0.40762584809404889</v>
      </c>
      <c r="J338" s="82" t="s">
        <v>274</v>
      </c>
      <c r="K338" s="509">
        <v>0.40762584809404889</v>
      </c>
      <c r="L338" s="62">
        <v>6.9000000000000006E-2</v>
      </c>
      <c r="M338" s="82" t="s">
        <v>274</v>
      </c>
      <c r="N338" s="512" t="s">
        <v>2029</v>
      </c>
      <c r="O338" s="53" t="s">
        <v>1523</v>
      </c>
      <c r="P338" s="235" t="s">
        <v>275</v>
      </c>
      <c r="S338" s="53" t="s">
        <v>2023</v>
      </c>
      <c r="T338" s="53" t="s">
        <v>1998</v>
      </c>
      <c r="U338" s="54" t="s">
        <v>1777</v>
      </c>
      <c r="V338" s="53" t="s">
        <v>1674</v>
      </c>
      <c r="W338" s="53" t="s">
        <v>1799</v>
      </c>
      <c r="X338" s="501">
        <v>10000</v>
      </c>
      <c r="Y338" s="167" t="s">
        <v>274</v>
      </c>
      <c r="Z338" s="168">
        <v>7500</v>
      </c>
      <c r="AA338" s="53" t="s">
        <v>1943</v>
      </c>
      <c r="AB338" s="238" t="s">
        <v>275</v>
      </c>
    </row>
    <row r="339" spans="2:28" ht="12.75">
      <c r="B339" s="53" t="s">
        <v>2023</v>
      </c>
      <c r="C339" s="53" t="s">
        <v>1998</v>
      </c>
      <c r="D339" s="54" t="s">
        <v>1777</v>
      </c>
      <c r="E339" s="53" t="s">
        <v>1674</v>
      </c>
      <c r="F339" s="53" t="s">
        <v>1799</v>
      </c>
      <c r="G339" s="55">
        <v>1.48E-3</v>
      </c>
      <c r="H339" s="53">
        <v>0.61</v>
      </c>
      <c r="I339" s="78">
        <v>0.40762584809404889</v>
      </c>
      <c r="J339" s="82" t="s">
        <v>276</v>
      </c>
      <c r="K339" s="509"/>
      <c r="L339" s="62">
        <v>6.9000000000000006E-2</v>
      </c>
      <c r="M339" s="82" t="s">
        <v>274</v>
      </c>
      <c r="N339" s="512"/>
      <c r="O339" s="53" t="s">
        <v>1944</v>
      </c>
      <c r="P339" s="236" t="s">
        <v>277</v>
      </c>
      <c r="S339" s="53" t="s">
        <v>2023</v>
      </c>
      <c r="T339" s="53" t="s">
        <v>1998</v>
      </c>
      <c r="U339" s="54" t="s">
        <v>1777</v>
      </c>
      <c r="V339" s="53" t="s">
        <v>1674</v>
      </c>
      <c r="W339" s="53" t="s">
        <v>1799</v>
      </c>
      <c r="X339" s="501"/>
      <c r="Y339" s="169" t="s">
        <v>276</v>
      </c>
      <c r="Z339" s="170">
        <v>7500</v>
      </c>
      <c r="AA339" s="489" t="s">
        <v>1944</v>
      </c>
      <c r="AB339" s="490" t="s">
        <v>277</v>
      </c>
    </row>
    <row r="340" spans="2:28" ht="12.75">
      <c r="B340" s="53" t="s">
        <v>2023</v>
      </c>
      <c r="C340" s="53" t="s">
        <v>1998</v>
      </c>
      <c r="D340" s="54" t="s">
        <v>1777</v>
      </c>
      <c r="E340" s="53" t="s">
        <v>1674</v>
      </c>
      <c r="F340" s="53" t="s">
        <v>1799</v>
      </c>
      <c r="G340" s="55">
        <v>1.48E-3</v>
      </c>
      <c r="H340" s="53">
        <v>0.61</v>
      </c>
      <c r="I340" s="78">
        <v>0.40762584809404889</v>
      </c>
      <c r="J340" s="82" t="s">
        <v>274</v>
      </c>
      <c r="K340" s="509"/>
      <c r="L340" s="62">
        <v>6.9000000000000006E-2</v>
      </c>
      <c r="M340" s="82" t="s">
        <v>276</v>
      </c>
      <c r="N340" s="512"/>
      <c r="O340" s="53" t="s">
        <v>1944</v>
      </c>
      <c r="P340" s="236" t="s">
        <v>277</v>
      </c>
      <c r="S340" s="53" t="s">
        <v>2023</v>
      </c>
      <c r="T340" s="53" t="s">
        <v>1998</v>
      </c>
      <c r="U340" s="54" t="s">
        <v>1777</v>
      </c>
      <c r="V340" s="53" t="s">
        <v>1674</v>
      </c>
      <c r="W340" s="53" t="s">
        <v>1799</v>
      </c>
      <c r="X340" s="501"/>
      <c r="Y340" s="171" t="s">
        <v>274</v>
      </c>
      <c r="Z340" s="172">
        <v>12500</v>
      </c>
      <c r="AA340" s="489"/>
      <c r="AB340" s="490"/>
    </row>
    <row r="341" spans="2:28" ht="12.75">
      <c r="B341" s="53" t="s">
        <v>2023</v>
      </c>
      <c r="C341" s="53" t="s">
        <v>1998</v>
      </c>
      <c r="D341" s="54" t="s">
        <v>1777</v>
      </c>
      <c r="E341" s="53" t="s">
        <v>1674</v>
      </c>
      <c r="F341" s="53" t="s">
        <v>1799</v>
      </c>
      <c r="G341" s="55">
        <v>1.48E-3</v>
      </c>
      <c r="H341" s="53">
        <v>0.61</v>
      </c>
      <c r="I341" s="78">
        <v>0.40762584809404889</v>
      </c>
      <c r="J341" s="82" t="s">
        <v>276</v>
      </c>
      <c r="K341" s="509"/>
      <c r="L341" s="62">
        <v>6.9000000000000006E-2</v>
      </c>
      <c r="M341" s="82" t="s">
        <v>276</v>
      </c>
      <c r="N341" s="512"/>
      <c r="O341" s="53" t="s">
        <v>1945</v>
      </c>
      <c r="P341" s="237" t="s">
        <v>256</v>
      </c>
      <c r="S341" s="53" t="s">
        <v>2023</v>
      </c>
      <c r="T341" s="53" t="s">
        <v>1998</v>
      </c>
      <c r="U341" s="54" t="s">
        <v>1777</v>
      </c>
      <c r="V341" s="53" t="s">
        <v>1674</v>
      </c>
      <c r="W341" s="53" t="s">
        <v>1799</v>
      </c>
      <c r="X341" s="501"/>
      <c r="Y341" s="167" t="s">
        <v>276</v>
      </c>
      <c r="Z341" s="168">
        <v>12500</v>
      </c>
      <c r="AA341" s="53" t="s">
        <v>1946</v>
      </c>
      <c r="AB341" s="239" t="s">
        <v>256</v>
      </c>
    </row>
    <row r="342" spans="2:28" ht="12.75">
      <c r="B342" s="35" t="s">
        <v>2023</v>
      </c>
      <c r="C342" s="35" t="s">
        <v>1998</v>
      </c>
      <c r="D342" s="35" t="s">
        <v>1777</v>
      </c>
      <c r="E342" s="35" t="s">
        <v>1673</v>
      </c>
      <c r="F342" s="35" t="s">
        <v>1778</v>
      </c>
      <c r="G342" s="35">
        <v>1.48E-3</v>
      </c>
      <c r="H342" s="35">
        <v>0.61</v>
      </c>
      <c r="I342" s="78">
        <v>0.40762584809404889</v>
      </c>
      <c r="J342" s="80" t="s">
        <v>274</v>
      </c>
      <c r="K342" s="510">
        <v>0.40762584809404889</v>
      </c>
      <c r="L342" s="62">
        <v>8.6999999999999994E-2</v>
      </c>
      <c r="M342" s="80" t="s">
        <v>274</v>
      </c>
      <c r="N342" s="513" t="s">
        <v>2029</v>
      </c>
      <c r="O342" s="35" t="s">
        <v>1523</v>
      </c>
      <c r="P342" s="235" t="s">
        <v>275</v>
      </c>
      <c r="S342" s="35" t="s">
        <v>2023</v>
      </c>
      <c r="T342" s="35" t="s">
        <v>1998</v>
      </c>
      <c r="U342" s="35" t="s">
        <v>1777</v>
      </c>
      <c r="V342" s="35" t="s">
        <v>1673</v>
      </c>
      <c r="W342" s="35" t="s">
        <v>1778</v>
      </c>
      <c r="X342" s="496">
        <v>10000</v>
      </c>
      <c r="Y342" s="149" t="s">
        <v>274</v>
      </c>
      <c r="Z342" s="150">
        <v>7500</v>
      </c>
      <c r="AA342" s="35" t="s">
        <v>1943</v>
      </c>
      <c r="AB342" s="238" t="s">
        <v>275</v>
      </c>
    </row>
    <row r="343" spans="2:28" ht="12.75">
      <c r="B343" s="35" t="s">
        <v>2023</v>
      </c>
      <c r="C343" s="35" t="s">
        <v>1998</v>
      </c>
      <c r="D343" s="35" t="s">
        <v>1777</v>
      </c>
      <c r="E343" s="35" t="s">
        <v>1673</v>
      </c>
      <c r="F343" s="35" t="s">
        <v>1778</v>
      </c>
      <c r="G343" s="35">
        <v>1.48E-3</v>
      </c>
      <c r="H343" s="35">
        <v>0.61</v>
      </c>
      <c r="I343" s="78">
        <v>0.40762584809404889</v>
      </c>
      <c r="J343" s="80" t="s">
        <v>276</v>
      </c>
      <c r="K343" s="510"/>
      <c r="L343" s="62">
        <v>8.6999999999999994E-2</v>
      </c>
      <c r="M343" s="80" t="s">
        <v>274</v>
      </c>
      <c r="N343" s="513"/>
      <c r="O343" s="35" t="s">
        <v>1944</v>
      </c>
      <c r="P343" s="236" t="s">
        <v>277</v>
      </c>
      <c r="S343" s="35" t="s">
        <v>2023</v>
      </c>
      <c r="T343" s="35" t="s">
        <v>1998</v>
      </c>
      <c r="U343" s="35" t="s">
        <v>1777</v>
      </c>
      <c r="V343" s="35" t="s">
        <v>1673</v>
      </c>
      <c r="W343" s="35" t="s">
        <v>1778</v>
      </c>
      <c r="X343" s="496"/>
      <c r="Y343" s="151" t="s">
        <v>276</v>
      </c>
      <c r="Z343" s="152">
        <v>7500</v>
      </c>
      <c r="AA343" s="491" t="s">
        <v>1944</v>
      </c>
      <c r="AB343" s="490" t="s">
        <v>277</v>
      </c>
    </row>
    <row r="344" spans="2:28" ht="12.75">
      <c r="B344" s="35" t="s">
        <v>2023</v>
      </c>
      <c r="C344" s="35" t="s">
        <v>1998</v>
      </c>
      <c r="D344" s="35" t="s">
        <v>1777</v>
      </c>
      <c r="E344" s="35" t="s">
        <v>1673</v>
      </c>
      <c r="F344" s="35" t="s">
        <v>1778</v>
      </c>
      <c r="G344" s="35">
        <v>1.48E-3</v>
      </c>
      <c r="H344" s="35">
        <v>0.61</v>
      </c>
      <c r="I344" s="78">
        <v>0.40762584809404889</v>
      </c>
      <c r="J344" s="80" t="s">
        <v>274</v>
      </c>
      <c r="K344" s="510"/>
      <c r="L344" s="62">
        <v>8.6999999999999994E-2</v>
      </c>
      <c r="M344" s="80" t="s">
        <v>276</v>
      </c>
      <c r="N344" s="513"/>
      <c r="O344" s="35" t="s">
        <v>1944</v>
      </c>
      <c r="P344" s="236" t="s">
        <v>277</v>
      </c>
      <c r="S344" s="35" t="s">
        <v>2023</v>
      </c>
      <c r="T344" s="35" t="s">
        <v>1998</v>
      </c>
      <c r="U344" s="35" t="s">
        <v>1777</v>
      </c>
      <c r="V344" s="35" t="s">
        <v>1673</v>
      </c>
      <c r="W344" s="35" t="s">
        <v>1778</v>
      </c>
      <c r="X344" s="496"/>
      <c r="Y344" s="153" t="s">
        <v>274</v>
      </c>
      <c r="Z344" s="154">
        <v>12500</v>
      </c>
      <c r="AA344" s="491"/>
      <c r="AB344" s="490"/>
    </row>
    <row r="345" spans="2:28" ht="12.75">
      <c r="B345" s="35" t="s">
        <v>2023</v>
      </c>
      <c r="C345" s="35" t="s">
        <v>1998</v>
      </c>
      <c r="D345" s="35" t="s">
        <v>1777</v>
      </c>
      <c r="E345" s="35" t="s">
        <v>1673</v>
      </c>
      <c r="F345" s="35" t="s">
        <v>1778</v>
      </c>
      <c r="G345" s="35">
        <v>1.48E-3</v>
      </c>
      <c r="H345" s="35">
        <v>0.61</v>
      </c>
      <c r="I345" s="78">
        <v>0.40762584809404889</v>
      </c>
      <c r="J345" s="80" t="s">
        <v>276</v>
      </c>
      <c r="K345" s="510"/>
      <c r="L345" s="62">
        <v>8.6999999999999994E-2</v>
      </c>
      <c r="M345" s="80" t="s">
        <v>276</v>
      </c>
      <c r="N345" s="513"/>
      <c r="O345" s="35" t="s">
        <v>2026</v>
      </c>
      <c r="P345" s="237" t="s">
        <v>256</v>
      </c>
      <c r="S345" s="35" t="s">
        <v>2023</v>
      </c>
      <c r="T345" s="35" t="s">
        <v>1998</v>
      </c>
      <c r="U345" s="35" t="s">
        <v>1777</v>
      </c>
      <c r="V345" s="35" t="s">
        <v>1673</v>
      </c>
      <c r="W345" s="35" t="s">
        <v>1778</v>
      </c>
      <c r="X345" s="496"/>
      <c r="Y345" s="149" t="s">
        <v>276</v>
      </c>
      <c r="Z345" s="150">
        <v>12500</v>
      </c>
      <c r="AA345" s="35" t="s">
        <v>1946</v>
      </c>
      <c r="AB345" s="239" t="s">
        <v>256</v>
      </c>
    </row>
    <row r="346" spans="2:28" ht="12.75">
      <c r="B346" s="53" t="s">
        <v>2023</v>
      </c>
      <c r="C346" s="53" t="s">
        <v>1998</v>
      </c>
      <c r="D346" s="54" t="s">
        <v>1777</v>
      </c>
      <c r="E346" s="53" t="s">
        <v>1673</v>
      </c>
      <c r="F346" s="53" t="s">
        <v>1781</v>
      </c>
      <c r="G346" s="55">
        <v>1.48E-3</v>
      </c>
      <c r="H346" s="53">
        <v>0.61</v>
      </c>
      <c r="I346" s="78">
        <v>0.40762584809404889</v>
      </c>
      <c r="J346" s="82" t="s">
        <v>274</v>
      </c>
      <c r="K346" s="509">
        <v>0.40762584809404889</v>
      </c>
      <c r="L346" s="62">
        <v>9.7000000000000003E-2</v>
      </c>
      <c r="M346" s="82" t="s">
        <v>274</v>
      </c>
      <c r="N346" s="512" t="s">
        <v>2029</v>
      </c>
      <c r="O346" s="53" t="s">
        <v>1523</v>
      </c>
      <c r="P346" s="235" t="s">
        <v>275</v>
      </c>
      <c r="S346" s="53" t="s">
        <v>2023</v>
      </c>
      <c r="T346" s="53" t="s">
        <v>1998</v>
      </c>
      <c r="U346" s="54" t="s">
        <v>1777</v>
      </c>
      <c r="V346" s="53" t="s">
        <v>1673</v>
      </c>
      <c r="W346" s="53" t="s">
        <v>1781</v>
      </c>
      <c r="X346" s="501">
        <v>10000</v>
      </c>
      <c r="Y346" s="167" t="s">
        <v>274</v>
      </c>
      <c r="Z346" s="168">
        <v>7500</v>
      </c>
      <c r="AA346" s="53" t="s">
        <v>1943</v>
      </c>
      <c r="AB346" s="238" t="s">
        <v>275</v>
      </c>
    </row>
    <row r="347" spans="2:28" ht="12.75">
      <c r="B347" s="53" t="s">
        <v>2023</v>
      </c>
      <c r="C347" s="53" t="s">
        <v>1998</v>
      </c>
      <c r="D347" s="54" t="s">
        <v>1777</v>
      </c>
      <c r="E347" s="53" t="s">
        <v>1673</v>
      </c>
      <c r="F347" s="53" t="s">
        <v>1781</v>
      </c>
      <c r="G347" s="55">
        <v>1.48E-3</v>
      </c>
      <c r="H347" s="53">
        <v>0.61</v>
      </c>
      <c r="I347" s="78">
        <v>0.40762584809404889</v>
      </c>
      <c r="J347" s="82" t="s">
        <v>276</v>
      </c>
      <c r="K347" s="509"/>
      <c r="L347" s="62">
        <v>9.7000000000000003E-2</v>
      </c>
      <c r="M347" s="82" t="s">
        <v>274</v>
      </c>
      <c r="N347" s="512"/>
      <c r="O347" s="53" t="s">
        <v>1944</v>
      </c>
      <c r="P347" s="236" t="s">
        <v>277</v>
      </c>
      <c r="S347" s="53" t="s">
        <v>2023</v>
      </c>
      <c r="T347" s="53" t="s">
        <v>1998</v>
      </c>
      <c r="U347" s="54" t="s">
        <v>1777</v>
      </c>
      <c r="V347" s="53" t="s">
        <v>1673</v>
      </c>
      <c r="W347" s="53" t="s">
        <v>1781</v>
      </c>
      <c r="X347" s="501"/>
      <c r="Y347" s="169" t="s">
        <v>276</v>
      </c>
      <c r="Z347" s="170">
        <v>7500</v>
      </c>
      <c r="AA347" s="489" t="s">
        <v>1944</v>
      </c>
      <c r="AB347" s="490" t="s">
        <v>277</v>
      </c>
    </row>
    <row r="348" spans="2:28" ht="12.75">
      <c r="B348" s="53" t="s">
        <v>2023</v>
      </c>
      <c r="C348" s="53" t="s">
        <v>1998</v>
      </c>
      <c r="D348" s="54" t="s">
        <v>1777</v>
      </c>
      <c r="E348" s="53" t="s">
        <v>1673</v>
      </c>
      <c r="F348" s="53" t="s">
        <v>1781</v>
      </c>
      <c r="G348" s="55">
        <v>1.48E-3</v>
      </c>
      <c r="H348" s="53">
        <v>0.61</v>
      </c>
      <c r="I348" s="78">
        <v>0.40762584809404889</v>
      </c>
      <c r="J348" s="82" t="s">
        <v>274</v>
      </c>
      <c r="K348" s="509"/>
      <c r="L348" s="62">
        <v>9.7000000000000003E-2</v>
      </c>
      <c r="M348" s="82" t="s">
        <v>276</v>
      </c>
      <c r="N348" s="512"/>
      <c r="O348" s="53" t="s">
        <v>1944</v>
      </c>
      <c r="P348" s="236" t="s">
        <v>277</v>
      </c>
      <c r="S348" s="53" t="s">
        <v>2023</v>
      </c>
      <c r="T348" s="53" t="s">
        <v>1998</v>
      </c>
      <c r="U348" s="54" t="s">
        <v>1777</v>
      </c>
      <c r="V348" s="53" t="s">
        <v>1673</v>
      </c>
      <c r="W348" s="53" t="s">
        <v>1781</v>
      </c>
      <c r="X348" s="501"/>
      <c r="Y348" s="171" t="s">
        <v>274</v>
      </c>
      <c r="Z348" s="172">
        <v>12500</v>
      </c>
      <c r="AA348" s="489"/>
      <c r="AB348" s="490"/>
    </row>
    <row r="349" spans="2:28" ht="12.75">
      <c r="B349" s="53" t="s">
        <v>2023</v>
      </c>
      <c r="C349" s="53" t="s">
        <v>1998</v>
      </c>
      <c r="D349" s="54" t="s">
        <v>1777</v>
      </c>
      <c r="E349" s="53" t="s">
        <v>1673</v>
      </c>
      <c r="F349" s="53" t="s">
        <v>1781</v>
      </c>
      <c r="G349" s="55">
        <v>1.48E-3</v>
      </c>
      <c r="H349" s="53">
        <v>0.61</v>
      </c>
      <c r="I349" s="78">
        <v>0.40762584809404889</v>
      </c>
      <c r="J349" s="82" t="s">
        <v>276</v>
      </c>
      <c r="K349" s="509"/>
      <c r="L349" s="62">
        <v>9.7000000000000003E-2</v>
      </c>
      <c r="M349" s="82" t="s">
        <v>276</v>
      </c>
      <c r="N349" s="512"/>
      <c r="O349" s="53" t="s">
        <v>1945</v>
      </c>
      <c r="P349" s="237" t="s">
        <v>256</v>
      </c>
      <c r="S349" s="53" t="s">
        <v>2023</v>
      </c>
      <c r="T349" s="53" t="s">
        <v>1998</v>
      </c>
      <c r="U349" s="54" t="s">
        <v>1777</v>
      </c>
      <c r="V349" s="53" t="s">
        <v>1673</v>
      </c>
      <c r="W349" s="53" t="s">
        <v>1781</v>
      </c>
      <c r="X349" s="501"/>
      <c r="Y349" s="167" t="s">
        <v>276</v>
      </c>
      <c r="Z349" s="168">
        <v>12500</v>
      </c>
      <c r="AA349" s="53" t="s">
        <v>1946</v>
      </c>
      <c r="AB349" s="239" t="s">
        <v>256</v>
      </c>
    </row>
    <row r="350" spans="2:28" ht="12.75">
      <c r="B350" s="35" t="s">
        <v>2023</v>
      </c>
      <c r="C350" s="35" t="s">
        <v>1998</v>
      </c>
      <c r="D350" s="35" t="s">
        <v>1777</v>
      </c>
      <c r="E350" s="35" t="s">
        <v>1673</v>
      </c>
      <c r="F350" s="35" t="s">
        <v>1799</v>
      </c>
      <c r="G350" s="35">
        <v>1.48E-3</v>
      </c>
      <c r="H350" s="35">
        <v>0.61</v>
      </c>
      <c r="I350" s="78">
        <v>0.43202736206948023</v>
      </c>
      <c r="J350" s="80" t="s">
        <v>274</v>
      </c>
      <c r="K350" s="510">
        <v>0.40762584809404889</v>
      </c>
      <c r="L350" s="62">
        <v>9.7000000000000003E-2</v>
      </c>
      <c r="M350" s="80" t="s">
        <v>274</v>
      </c>
      <c r="N350" s="513" t="s">
        <v>2029</v>
      </c>
      <c r="O350" s="35" t="s">
        <v>1523</v>
      </c>
      <c r="P350" s="235" t="s">
        <v>275</v>
      </c>
      <c r="S350" s="35" t="s">
        <v>2023</v>
      </c>
      <c r="T350" s="35" t="s">
        <v>1998</v>
      </c>
      <c r="U350" s="35" t="s">
        <v>1777</v>
      </c>
      <c r="V350" s="35" t="s">
        <v>1673</v>
      </c>
      <c r="W350" s="35" t="s">
        <v>1799</v>
      </c>
      <c r="X350" s="496">
        <v>11000</v>
      </c>
      <c r="Y350" s="149" t="s">
        <v>274</v>
      </c>
      <c r="Z350" s="150">
        <v>8250</v>
      </c>
      <c r="AA350" s="35" t="s">
        <v>1943</v>
      </c>
      <c r="AB350" s="238" t="s">
        <v>275</v>
      </c>
    </row>
    <row r="351" spans="2:28" ht="12.75">
      <c r="B351" s="35" t="s">
        <v>2023</v>
      </c>
      <c r="C351" s="35" t="s">
        <v>1998</v>
      </c>
      <c r="D351" s="35" t="s">
        <v>1777</v>
      </c>
      <c r="E351" s="35" t="s">
        <v>1673</v>
      </c>
      <c r="F351" s="35" t="s">
        <v>1799</v>
      </c>
      <c r="G351" s="35">
        <v>1.48E-3</v>
      </c>
      <c r="H351" s="35">
        <v>0.61</v>
      </c>
      <c r="I351" s="78">
        <v>0.43202736206948023</v>
      </c>
      <c r="J351" s="80" t="s">
        <v>276</v>
      </c>
      <c r="K351" s="510"/>
      <c r="L351" s="62">
        <v>9.7000000000000003E-2</v>
      </c>
      <c r="M351" s="80" t="s">
        <v>274</v>
      </c>
      <c r="N351" s="513"/>
      <c r="O351" s="35" t="s">
        <v>1944</v>
      </c>
      <c r="P351" s="236" t="s">
        <v>277</v>
      </c>
      <c r="S351" s="35" t="s">
        <v>2023</v>
      </c>
      <c r="T351" s="35" t="s">
        <v>1998</v>
      </c>
      <c r="U351" s="35" t="s">
        <v>1777</v>
      </c>
      <c r="V351" s="35" t="s">
        <v>1673</v>
      </c>
      <c r="W351" s="35" t="s">
        <v>1799</v>
      </c>
      <c r="X351" s="496"/>
      <c r="Y351" s="151" t="s">
        <v>276</v>
      </c>
      <c r="Z351" s="152">
        <v>8250</v>
      </c>
      <c r="AA351" s="491" t="s">
        <v>1944</v>
      </c>
      <c r="AB351" s="490" t="s">
        <v>277</v>
      </c>
    </row>
    <row r="352" spans="2:28" ht="12.75">
      <c r="B352" s="35" t="s">
        <v>2023</v>
      </c>
      <c r="C352" s="35" t="s">
        <v>1998</v>
      </c>
      <c r="D352" s="35" t="s">
        <v>1777</v>
      </c>
      <c r="E352" s="35" t="s">
        <v>1673</v>
      </c>
      <c r="F352" s="35" t="s">
        <v>1799</v>
      </c>
      <c r="G352" s="35">
        <v>1.48E-3</v>
      </c>
      <c r="H352" s="35">
        <v>0.61</v>
      </c>
      <c r="I352" s="78">
        <v>0.43202736206948023</v>
      </c>
      <c r="J352" s="80" t="s">
        <v>274</v>
      </c>
      <c r="K352" s="510"/>
      <c r="L352" s="62">
        <v>9.7000000000000003E-2</v>
      </c>
      <c r="M352" s="80" t="s">
        <v>276</v>
      </c>
      <c r="N352" s="513"/>
      <c r="O352" s="35" t="s">
        <v>1944</v>
      </c>
      <c r="P352" s="236" t="s">
        <v>277</v>
      </c>
      <c r="S352" s="35" t="s">
        <v>2023</v>
      </c>
      <c r="T352" s="35" t="s">
        <v>1998</v>
      </c>
      <c r="U352" s="35" t="s">
        <v>1777</v>
      </c>
      <c r="V352" s="35" t="s">
        <v>1673</v>
      </c>
      <c r="W352" s="35" t="s">
        <v>1799</v>
      </c>
      <c r="X352" s="496"/>
      <c r="Y352" s="153" t="s">
        <v>274</v>
      </c>
      <c r="Z352" s="154">
        <v>13750</v>
      </c>
      <c r="AA352" s="491"/>
      <c r="AB352" s="490"/>
    </row>
    <row r="353" spans="2:28" ht="12.75">
      <c r="B353" s="35" t="s">
        <v>2023</v>
      </c>
      <c r="C353" s="35" t="s">
        <v>1998</v>
      </c>
      <c r="D353" s="35" t="s">
        <v>1777</v>
      </c>
      <c r="E353" s="35" t="s">
        <v>1673</v>
      </c>
      <c r="F353" s="35" t="s">
        <v>1799</v>
      </c>
      <c r="G353" s="35">
        <v>1.48E-3</v>
      </c>
      <c r="H353" s="35">
        <v>0.61</v>
      </c>
      <c r="I353" s="78">
        <v>0.43202736206948023</v>
      </c>
      <c r="J353" s="80" t="s">
        <v>276</v>
      </c>
      <c r="K353" s="510"/>
      <c r="L353" s="62">
        <v>9.7000000000000003E-2</v>
      </c>
      <c r="M353" s="80" t="s">
        <v>276</v>
      </c>
      <c r="N353" s="513"/>
      <c r="O353" s="35" t="s">
        <v>2026</v>
      </c>
      <c r="P353" s="237" t="s">
        <v>256</v>
      </c>
      <c r="S353" s="35" t="s">
        <v>2023</v>
      </c>
      <c r="T353" s="35" t="s">
        <v>1998</v>
      </c>
      <c r="U353" s="35" t="s">
        <v>1777</v>
      </c>
      <c r="V353" s="35" t="s">
        <v>1673</v>
      </c>
      <c r="W353" s="35" t="s">
        <v>1799</v>
      </c>
      <c r="X353" s="496"/>
      <c r="Y353" s="149" t="s">
        <v>276</v>
      </c>
      <c r="Z353" s="150">
        <v>13750</v>
      </c>
      <c r="AA353" s="35" t="s">
        <v>1946</v>
      </c>
      <c r="AB353" s="239" t="s">
        <v>256</v>
      </c>
    </row>
    <row r="354" spans="2:28" ht="12.75">
      <c r="B354" s="22" t="s">
        <v>2023</v>
      </c>
      <c r="C354" s="22" t="s">
        <v>1998</v>
      </c>
      <c r="D354" s="60" t="s">
        <v>258</v>
      </c>
      <c r="E354" s="22" t="s">
        <v>256</v>
      </c>
      <c r="F354" s="22" t="s">
        <v>256</v>
      </c>
      <c r="G354" s="61" t="s">
        <v>1988</v>
      </c>
      <c r="H354" s="22">
        <v>0.61</v>
      </c>
      <c r="I354" s="78">
        <v>0.33451914122730958</v>
      </c>
      <c r="J354" s="81" t="s">
        <v>274</v>
      </c>
      <c r="K354" s="511">
        <v>0.40762584809404889</v>
      </c>
      <c r="L354" s="62">
        <v>4.2999999999999997E-2</v>
      </c>
      <c r="M354" s="81" t="s">
        <v>274</v>
      </c>
      <c r="N354" s="514" t="s">
        <v>2029</v>
      </c>
      <c r="O354" s="22" t="s">
        <v>1523</v>
      </c>
      <c r="P354" s="235" t="s">
        <v>275</v>
      </c>
      <c r="S354" s="22" t="s">
        <v>2023</v>
      </c>
      <c r="T354" s="22" t="s">
        <v>1998</v>
      </c>
      <c r="U354" s="60" t="s">
        <v>258</v>
      </c>
      <c r="V354" s="22" t="s">
        <v>256</v>
      </c>
      <c r="W354" s="22" t="s">
        <v>256</v>
      </c>
      <c r="X354" s="497">
        <v>12500</v>
      </c>
      <c r="Y354" s="155" t="s">
        <v>274</v>
      </c>
      <c r="Z354" s="156">
        <v>9375</v>
      </c>
      <c r="AA354" s="22" t="s">
        <v>1943</v>
      </c>
      <c r="AB354" s="238" t="s">
        <v>275</v>
      </c>
    </row>
    <row r="355" spans="2:28" ht="12.75">
      <c r="B355" s="22" t="s">
        <v>2023</v>
      </c>
      <c r="C355" s="22" t="s">
        <v>1998</v>
      </c>
      <c r="D355" s="60" t="s">
        <v>258</v>
      </c>
      <c r="E355" s="22" t="s">
        <v>256</v>
      </c>
      <c r="F355" s="22" t="s">
        <v>256</v>
      </c>
      <c r="G355" s="61" t="s">
        <v>1988</v>
      </c>
      <c r="H355" s="22">
        <v>0.61</v>
      </c>
      <c r="I355" s="78">
        <v>0.33451914122730958</v>
      </c>
      <c r="J355" s="81" t="s">
        <v>276</v>
      </c>
      <c r="K355" s="511"/>
      <c r="L355" s="62">
        <v>4.2999999999999997E-2</v>
      </c>
      <c r="M355" s="81" t="s">
        <v>274</v>
      </c>
      <c r="N355" s="514"/>
      <c r="O355" s="22" t="s">
        <v>1944</v>
      </c>
      <c r="P355" s="236" t="s">
        <v>277</v>
      </c>
      <c r="S355" s="22" t="s">
        <v>2023</v>
      </c>
      <c r="T355" s="22" t="s">
        <v>1998</v>
      </c>
      <c r="U355" s="60" t="s">
        <v>258</v>
      </c>
      <c r="V355" s="22" t="s">
        <v>256</v>
      </c>
      <c r="W355" s="22" t="s">
        <v>256</v>
      </c>
      <c r="X355" s="497"/>
      <c r="Y355" s="157" t="s">
        <v>276</v>
      </c>
      <c r="Z355" s="158">
        <v>9375</v>
      </c>
      <c r="AA355" s="492" t="s">
        <v>1944</v>
      </c>
      <c r="AB355" s="490" t="s">
        <v>277</v>
      </c>
    </row>
    <row r="356" spans="2:28" ht="12.75">
      <c r="B356" s="22" t="s">
        <v>2023</v>
      </c>
      <c r="C356" s="22" t="s">
        <v>1998</v>
      </c>
      <c r="D356" s="60" t="s">
        <v>258</v>
      </c>
      <c r="E356" s="22" t="s">
        <v>256</v>
      </c>
      <c r="F356" s="22" t="s">
        <v>256</v>
      </c>
      <c r="G356" s="61">
        <v>1.0600000000000002E-3</v>
      </c>
      <c r="H356" s="22">
        <v>0.61</v>
      </c>
      <c r="I356" s="78">
        <v>0.33451914122730958</v>
      </c>
      <c r="J356" s="81" t="s">
        <v>274</v>
      </c>
      <c r="K356" s="511"/>
      <c r="L356" s="62">
        <v>4.2999999999999997E-2</v>
      </c>
      <c r="M356" s="81" t="s">
        <v>276</v>
      </c>
      <c r="N356" s="514"/>
      <c r="O356" s="22" t="s">
        <v>1944</v>
      </c>
      <c r="P356" s="236" t="s">
        <v>277</v>
      </c>
      <c r="S356" s="22" t="s">
        <v>2023</v>
      </c>
      <c r="T356" s="22" t="s">
        <v>1998</v>
      </c>
      <c r="U356" s="60" t="s">
        <v>258</v>
      </c>
      <c r="V356" s="22" t="s">
        <v>256</v>
      </c>
      <c r="W356" s="22" t="s">
        <v>256</v>
      </c>
      <c r="X356" s="497"/>
      <c r="Y356" s="159" t="s">
        <v>274</v>
      </c>
      <c r="Z356" s="160">
        <v>15625</v>
      </c>
      <c r="AA356" s="492"/>
      <c r="AB356" s="490"/>
    </row>
    <row r="357" spans="2:28" ht="12.75">
      <c r="B357" s="22" t="s">
        <v>2023</v>
      </c>
      <c r="C357" s="22" t="s">
        <v>1998</v>
      </c>
      <c r="D357" s="60" t="s">
        <v>258</v>
      </c>
      <c r="E357" s="22" t="s">
        <v>256</v>
      </c>
      <c r="F357" s="22" t="s">
        <v>256</v>
      </c>
      <c r="G357" s="61">
        <v>1.0600000000000002E-3</v>
      </c>
      <c r="H357" s="22">
        <v>0.61</v>
      </c>
      <c r="I357" s="78">
        <v>0.33451914122730958</v>
      </c>
      <c r="J357" s="81" t="s">
        <v>276</v>
      </c>
      <c r="K357" s="511"/>
      <c r="L357" s="62">
        <v>4.2999999999999997E-2</v>
      </c>
      <c r="M357" s="81" t="s">
        <v>276</v>
      </c>
      <c r="N357" s="514"/>
      <c r="O357" s="22" t="s">
        <v>1945</v>
      </c>
      <c r="P357" s="237" t="s">
        <v>256</v>
      </c>
      <c r="S357" s="22" t="s">
        <v>2023</v>
      </c>
      <c r="T357" s="22" t="s">
        <v>1998</v>
      </c>
      <c r="U357" s="60" t="s">
        <v>258</v>
      </c>
      <c r="V357" s="22" t="s">
        <v>256</v>
      </c>
      <c r="W357" s="22" t="s">
        <v>256</v>
      </c>
      <c r="X357" s="497"/>
      <c r="Y357" s="155" t="s">
        <v>276</v>
      </c>
      <c r="Z357" s="156">
        <v>15625</v>
      </c>
      <c r="AA357" s="22" t="s">
        <v>1946</v>
      </c>
      <c r="AB357" s="239" t="s">
        <v>256</v>
      </c>
    </row>
    <row r="359" spans="2:28" ht="89.25">
      <c r="B359" s="40" t="s">
        <v>310</v>
      </c>
      <c r="C359" s="118" t="s">
        <v>1562</v>
      </c>
      <c r="D359" s="40" t="s">
        <v>311</v>
      </c>
      <c r="E359" s="40" t="s">
        <v>1576</v>
      </c>
      <c r="F359" s="40" t="s">
        <v>312</v>
      </c>
      <c r="G359" s="40" t="s">
        <v>313</v>
      </c>
      <c r="H359" s="121" t="s">
        <v>1577</v>
      </c>
      <c r="I359" s="119"/>
      <c r="J359" s="120" t="s">
        <v>314</v>
      </c>
      <c r="K359" s="121" t="s">
        <v>1579</v>
      </c>
      <c r="L359" s="121"/>
      <c r="M359" s="120" t="s">
        <v>315</v>
      </c>
      <c r="N359" s="493" t="s">
        <v>2091</v>
      </c>
      <c r="O359" s="493"/>
      <c r="S359" s="40" t="s">
        <v>316</v>
      </c>
      <c r="T359" s="118" t="s">
        <v>317</v>
      </c>
      <c r="U359" s="40" t="s">
        <v>318</v>
      </c>
      <c r="V359" s="40" t="s">
        <v>1576</v>
      </c>
      <c r="W359" s="140" t="s">
        <v>319</v>
      </c>
      <c r="X359" s="500" t="s">
        <v>320</v>
      </c>
      <c r="Y359" s="500"/>
      <c r="Z359" s="493" t="s">
        <v>2092</v>
      </c>
      <c r="AA359" s="493"/>
    </row>
    <row r="360" spans="2:28" ht="12.75">
      <c r="B360" s="62" t="s">
        <v>1865</v>
      </c>
      <c r="C360" s="62" t="s">
        <v>1866</v>
      </c>
      <c r="D360" s="63" t="s">
        <v>1777</v>
      </c>
      <c r="E360" s="62" t="s">
        <v>1868</v>
      </c>
      <c r="F360" s="64" t="s">
        <v>2031</v>
      </c>
      <c r="G360" s="62">
        <v>1.57</v>
      </c>
      <c r="H360" s="122">
        <v>2.3535688501816123</v>
      </c>
      <c r="I360" s="79" t="s">
        <v>274</v>
      </c>
      <c r="J360" s="519">
        <v>2.1344951115014643</v>
      </c>
      <c r="K360" s="123">
        <v>1.2E-2</v>
      </c>
      <c r="L360" s="79" t="s">
        <v>274</v>
      </c>
      <c r="M360" s="517" t="s">
        <v>2032</v>
      </c>
      <c r="N360" s="63" t="s">
        <v>1523</v>
      </c>
      <c r="O360" s="235" t="s">
        <v>275</v>
      </c>
      <c r="S360" s="62" t="s">
        <v>1865</v>
      </c>
      <c r="T360" s="62" t="s">
        <v>1866</v>
      </c>
      <c r="U360" s="63" t="s">
        <v>1777</v>
      </c>
      <c r="V360" s="62" t="s">
        <v>1868</v>
      </c>
      <c r="W360" s="499">
        <v>70000</v>
      </c>
      <c r="X360" s="181" t="s">
        <v>274</v>
      </c>
      <c r="Y360" s="182">
        <v>52500</v>
      </c>
      <c r="Z360" s="62" t="s">
        <v>1943</v>
      </c>
      <c r="AA360" s="238" t="s">
        <v>275</v>
      </c>
    </row>
    <row r="361" spans="2:28" ht="12.75">
      <c r="B361" s="62" t="s">
        <v>1865</v>
      </c>
      <c r="C361" s="62" t="s">
        <v>1866</v>
      </c>
      <c r="D361" s="63" t="s">
        <v>1777</v>
      </c>
      <c r="E361" s="62" t="s">
        <v>1868</v>
      </c>
      <c r="F361" s="64" t="s">
        <v>2031</v>
      </c>
      <c r="G361" s="62">
        <v>1.57</v>
      </c>
      <c r="H361" s="122">
        <v>2.3535688501816123</v>
      </c>
      <c r="I361" s="79" t="s">
        <v>276</v>
      </c>
      <c r="J361" s="519"/>
      <c r="K361" s="123">
        <v>1.2E-2</v>
      </c>
      <c r="L361" s="79" t="s">
        <v>274</v>
      </c>
      <c r="M361" s="517"/>
      <c r="N361" s="63" t="s">
        <v>1944</v>
      </c>
      <c r="O361" s="236" t="s">
        <v>277</v>
      </c>
      <c r="S361" s="62" t="s">
        <v>1865</v>
      </c>
      <c r="T361" s="62" t="s">
        <v>1866</v>
      </c>
      <c r="U361" s="63" t="s">
        <v>1777</v>
      </c>
      <c r="V361" s="62" t="s">
        <v>1868</v>
      </c>
      <c r="W361" s="499"/>
      <c r="X361" s="183" t="s">
        <v>276</v>
      </c>
      <c r="Y361" s="184">
        <v>52500</v>
      </c>
      <c r="Z361" s="494" t="s">
        <v>1944</v>
      </c>
      <c r="AA361" s="490" t="s">
        <v>277</v>
      </c>
    </row>
    <row r="362" spans="2:28" ht="12.75">
      <c r="B362" s="62" t="s">
        <v>1865</v>
      </c>
      <c r="C362" s="62" t="s">
        <v>1866</v>
      </c>
      <c r="D362" s="63" t="s">
        <v>1777</v>
      </c>
      <c r="E362" s="62" t="s">
        <v>1868</v>
      </c>
      <c r="F362" s="64">
        <v>5.8200000000000005E-8</v>
      </c>
      <c r="G362" s="62">
        <v>1.57</v>
      </c>
      <c r="H362" s="122">
        <v>2.3535688501816123</v>
      </c>
      <c r="I362" s="79" t="s">
        <v>274</v>
      </c>
      <c r="J362" s="519"/>
      <c r="K362" s="123">
        <v>1.2E-2</v>
      </c>
      <c r="L362" s="79" t="s">
        <v>276</v>
      </c>
      <c r="M362" s="517"/>
      <c r="N362" s="63" t="s">
        <v>1944</v>
      </c>
      <c r="O362" s="236" t="s">
        <v>277</v>
      </c>
      <c r="S362" s="62" t="s">
        <v>1865</v>
      </c>
      <c r="T362" s="62" t="s">
        <v>1866</v>
      </c>
      <c r="U362" s="63" t="s">
        <v>1777</v>
      </c>
      <c r="V362" s="62" t="s">
        <v>1868</v>
      </c>
      <c r="W362" s="499"/>
      <c r="X362" s="185" t="s">
        <v>274</v>
      </c>
      <c r="Y362" s="186">
        <v>87500</v>
      </c>
      <c r="Z362" s="494"/>
      <c r="AA362" s="490"/>
    </row>
    <row r="363" spans="2:28" ht="12.75">
      <c r="B363" s="62" t="s">
        <v>1865</v>
      </c>
      <c r="C363" s="62" t="s">
        <v>1866</v>
      </c>
      <c r="D363" s="63" t="s">
        <v>1777</v>
      </c>
      <c r="E363" s="62" t="s">
        <v>1868</v>
      </c>
      <c r="F363" s="64">
        <v>5.8200000000000005E-8</v>
      </c>
      <c r="G363" s="62">
        <v>1.57</v>
      </c>
      <c r="H363" s="122">
        <v>2.3535688501816123</v>
      </c>
      <c r="I363" s="79" t="s">
        <v>276</v>
      </c>
      <c r="J363" s="519"/>
      <c r="K363" s="123">
        <v>1.2E-2</v>
      </c>
      <c r="L363" s="79" t="s">
        <v>276</v>
      </c>
      <c r="M363" s="517"/>
      <c r="N363" s="63" t="s">
        <v>1945</v>
      </c>
      <c r="O363" s="237" t="s">
        <v>256</v>
      </c>
      <c r="S363" s="62" t="s">
        <v>1865</v>
      </c>
      <c r="T363" s="62" t="s">
        <v>1866</v>
      </c>
      <c r="U363" s="63" t="s">
        <v>1777</v>
      </c>
      <c r="V363" s="62" t="s">
        <v>1868</v>
      </c>
      <c r="W363" s="499"/>
      <c r="X363" s="181" t="s">
        <v>276</v>
      </c>
      <c r="Y363" s="182">
        <v>87500</v>
      </c>
      <c r="Z363" s="62" t="s">
        <v>1946</v>
      </c>
      <c r="AA363" s="239" t="s">
        <v>256</v>
      </c>
    </row>
    <row r="364" spans="2:28" ht="12.75">
      <c r="B364" s="35" t="s">
        <v>1865</v>
      </c>
      <c r="C364" s="35" t="s">
        <v>1866</v>
      </c>
      <c r="D364" s="35" t="s">
        <v>1777</v>
      </c>
      <c r="E364" s="35" t="s">
        <v>2033</v>
      </c>
      <c r="F364" s="35" t="s">
        <v>2034</v>
      </c>
      <c r="G364" s="35">
        <v>1.57</v>
      </c>
      <c r="H364" s="122">
        <v>1.4772738954610205</v>
      </c>
      <c r="I364" s="80" t="s">
        <v>274</v>
      </c>
      <c r="J364" s="510">
        <v>2.1344951115014643</v>
      </c>
      <c r="K364" s="123">
        <v>1.4E-2</v>
      </c>
      <c r="L364" s="80" t="s">
        <v>274</v>
      </c>
      <c r="M364" s="513" t="s">
        <v>2032</v>
      </c>
      <c r="N364" s="35" t="s">
        <v>1523</v>
      </c>
      <c r="O364" s="235" t="s">
        <v>275</v>
      </c>
      <c r="S364" s="35" t="s">
        <v>1865</v>
      </c>
      <c r="T364" s="35" t="s">
        <v>1866</v>
      </c>
      <c r="U364" s="35" t="s">
        <v>1777</v>
      </c>
      <c r="V364" s="35" t="s">
        <v>2033</v>
      </c>
      <c r="W364" s="496">
        <v>45000</v>
      </c>
      <c r="X364" s="149" t="s">
        <v>274</v>
      </c>
      <c r="Y364" s="150">
        <v>33750</v>
      </c>
      <c r="Z364" s="35" t="s">
        <v>1943</v>
      </c>
      <c r="AA364" s="238" t="s">
        <v>275</v>
      </c>
    </row>
    <row r="365" spans="2:28" ht="12.75">
      <c r="B365" s="35" t="s">
        <v>1865</v>
      </c>
      <c r="C365" s="35" t="s">
        <v>1866</v>
      </c>
      <c r="D365" s="35" t="s">
        <v>1777</v>
      </c>
      <c r="E365" s="35" t="s">
        <v>2033</v>
      </c>
      <c r="F365" s="35" t="s">
        <v>2034</v>
      </c>
      <c r="G365" s="35">
        <v>1.57</v>
      </c>
      <c r="H365" s="122">
        <v>1.4772738954610205</v>
      </c>
      <c r="I365" s="80" t="s">
        <v>276</v>
      </c>
      <c r="J365" s="510"/>
      <c r="K365" s="123">
        <v>1.4E-2</v>
      </c>
      <c r="L365" s="80" t="s">
        <v>274</v>
      </c>
      <c r="M365" s="513"/>
      <c r="N365" s="35" t="s">
        <v>1944</v>
      </c>
      <c r="O365" s="236" t="s">
        <v>277</v>
      </c>
      <c r="S365" s="35" t="s">
        <v>1865</v>
      </c>
      <c r="T365" s="35" t="s">
        <v>1866</v>
      </c>
      <c r="U365" s="35" t="s">
        <v>1777</v>
      </c>
      <c r="V365" s="35" t="s">
        <v>2033</v>
      </c>
      <c r="W365" s="496"/>
      <c r="X365" s="151" t="s">
        <v>276</v>
      </c>
      <c r="Y365" s="152">
        <v>33750</v>
      </c>
      <c r="Z365" s="491" t="s">
        <v>1944</v>
      </c>
      <c r="AA365" s="490" t="s">
        <v>277</v>
      </c>
    </row>
    <row r="366" spans="2:28" ht="12.75">
      <c r="B366" s="35" t="s">
        <v>1865</v>
      </c>
      <c r="C366" s="35" t="s">
        <v>1866</v>
      </c>
      <c r="D366" s="35" t="s">
        <v>1777</v>
      </c>
      <c r="E366" s="35" t="s">
        <v>2033</v>
      </c>
      <c r="F366" s="35">
        <v>7.3099999999999999E-8</v>
      </c>
      <c r="G366" s="35">
        <v>1.57</v>
      </c>
      <c r="H366" s="122">
        <v>1.4772738954610205</v>
      </c>
      <c r="I366" s="80" t="s">
        <v>274</v>
      </c>
      <c r="J366" s="510"/>
      <c r="K366" s="123">
        <v>1.4E-2</v>
      </c>
      <c r="L366" s="80" t="s">
        <v>276</v>
      </c>
      <c r="M366" s="513"/>
      <c r="N366" s="35" t="s">
        <v>1944</v>
      </c>
      <c r="O366" s="236" t="s">
        <v>277</v>
      </c>
      <c r="S366" s="35" t="s">
        <v>1865</v>
      </c>
      <c r="T366" s="35" t="s">
        <v>1866</v>
      </c>
      <c r="U366" s="35" t="s">
        <v>1777</v>
      </c>
      <c r="V366" s="35" t="s">
        <v>2033</v>
      </c>
      <c r="W366" s="496"/>
      <c r="X366" s="153" t="s">
        <v>274</v>
      </c>
      <c r="Y366" s="154">
        <v>56250</v>
      </c>
      <c r="Z366" s="491"/>
      <c r="AA366" s="490"/>
    </row>
    <row r="367" spans="2:28" ht="12.75">
      <c r="B367" s="35" t="s">
        <v>1865</v>
      </c>
      <c r="C367" s="35" t="s">
        <v>1866</v>
      </c>
      <c r="D367" s="35" t="s">
        <v>1777</v>
      </c>
      <c r="E367" s="35" t="s">
        <v>2033</v>
      </c>
      <c r="F367" s="35">
        <v>7.3099999999999999E-8</v>
      </c>
      <c r="G367" s="35">
        <v>1.57</v>
      </c>
      <c r="H367" s="122">
        <v>1.4772738954610205</v>
      </c>
      <c r="I367" s="80" t="s">
        <v>276</v>
      </c>
      <c r="J367" s="510"/>
      <c r="K367" s="123">
        <v>1.4E-2</v>
      </c>
      <c r="L367" s="80" t="s">
        <v>276</v>
      </c>
      <c r="M367" s="513"/>
      <c r="N367" s="35" t="s">
        <v>1945</v>
      </c>
      <c r="O367" s="237" t="s">
        <v>256</v>
      </c>
      <c r="S367" s="35" t="s">
        <v>1865</v>
      </c>
      <c r="T367" s="35" t="s">
        <v>1866</v>
      </c>
      <c r="U367" s="35" t="s">
        <v>1777</v>
      </c>
      <c r="V367" s="35" t="s">
        <v>2033</v>
      </c>
      <c r="W367" s="496"/>
      <c r="X367" s="149" t="s">
        <v>276</v>
      </c>
      <c r="Y367" s="150">
        <v>56250</v>
      </c>
      <c r="Z367" s="35" t="s">
        <v>1946</v>
      </c>
      <c r="AA367" s="239" t="s">
        <v>256</v>
      </c>
    </row>
    <row r="368" spans="2:28" ht="12.75">
      <c r="B368" s="22" t="s">
        <v>1865</v>
      </c>
      <c r="C368" s="22" t="s">
        <v>1866</v>
      </c>
      <c r="D368" s="60" t="s">
        <v>258</v>
      </c>
      <c r="E368" s="22" t="s">
        <v>256</v>
      </c>
      <c r="F368" s="61" t="s">
        <v>2031</v>
      </c>
      <c r="G368" s="22">
        <v>1.57</v>
      </c>
      <c r="H368" s="122">
        <v>0.3292608369914955</v>
      </c>
      <c r="I368" s="81" t="s">
        <v>274</v>
      </c>
      <c r="J368" s="511">
        <v>2.1344951115014643</v>
      </c>
      <c r="K368" s="123">
        <v>1.7999999999999999E-2</v>
      </c>
      <c r="L368" s="81" t="s">
        <v>274</v>
      </c>
      <c r="M368" s="514" t="s">
        <v>2032</v>
      </c>
      <c r="N368" s="60" t="s">
        <v>1523</v>
      </c>
      <c r="O368" s="235" t="s">
        <v>275</v>
      </c>
      <c r="S368" s="22" t="s">
        <v>1865</v>
      </c>
      <c r="T368" s="22" t="s">
        <v>1866</v>
      </c>
      <c r="U368" s="60" t="s">
        <v>258</v>
      </c>
      <c r="V368" s="22" t="s">
        <v>256</v>
      </c>
      <c r="W368" s="497">
        <v>20000</v>
      </c>
      <c r="X368" s="155" t="s">
        <v>274</v>
      </c>
      <c r="Y368" s="156">
        <v>15000</v>
      </c>
      <c r="Z368" s="22" t="s">
        <v>1943</v>
      </c>
      <c r="AA368" s="238" t="s">
        <v>275</v>
      </c>
    </row>
    <row r="369" spans="2:27" ht="12.75">
      <c r="B369" s="22" t="s">
        <v>1865</v>
      </c>
      <c r="C369" s="22" t="s">
        <v>1866</v>
      </c>
      <c r="D369" s="60" t="s">
        <v>258</v>
      </c>
      <c r="E369" s="22" t="s">
        <v>256</v>
      </c>
      <c r="F369" s="61">
        <v>5.8200000000000005E-8</v>
      </c>
      <c r="G369" s="22">
        <v>1.57</v>
      </c>
      <c r="H369" s="122">
        <v>0.3292608369914955</v>
      </c>
      <c r="I369" s="81" t="s">
        <v>276</v>
      </c>
      <c r="J369" s="511"/>
      <c r="K369" s="123">
        <v>1.7999999999999999E-2</v>
      </c>
      <c r="L369" s="81" t="s">
        <v>274</v>
      </c>
      <c r="M369" s="514"/>
      <c r="N369" s="60" t="s">
        <v>1944</v>
      </c>
      <c r="O369" s="236" t="s">
        <v>277</v>
      </c>
      <c r="S369" s="22" t="s">
        <v>1865</v>
      </c>
      <c r="T369" s="22" t="s">
        <v>1866</v>
      </c>
      <c r="U369" s="60" t="s">
        <v>258</v>
      </c>
      <c r="V369" s="22" t="s">
        <v>256</v>
      </c>
      <c r="W369" s="497"/>
      <c r="X369" s="157" t="s">
        <v>276</v>
      </c>
      <c r="Y369" s="158">
        <v>15000</v>
      </c>
      <c r="Z369" s="492" t="s">
        <v>1944</v>
      </c>
      <c r="AA369" s="490" t="s">
        <v>277</v>
      </c>
    </row>
    <row r="370" spans="2:27" ht="12.75">
      <c r="B370" s="22" t="s">
        <v>1865</v>
      </c>
      <c r="C370" s="22" t="s">
        <v>1866</v>
      </c>
      <c r="D370" s="60" t="s">
        <v>258</v>
      </c>
      <c r="E370" s="22" t="s">
        <v>256</v>
      </c>
      <c r="F370" s="61">
        <v>5.8200000000000005E-8</v>
      </c>
      <c r="G370" s="22">
        <v>1.57</v>
      </c>
      <c r="H370" s="122">
        <v>0.3292608369914955</v>
      </c>
      <c r="I370" s="81" t="s">
        <v>274</v>
      </c>
      <c r="J370" s="511"/>
      <c r="K370" s="123">
        <v>1.7999999999999999E-2</v>
      </c>
      <c r="L370" s="81" t="s">
        <v>276</v>
      </c>
      <c r="M370" s="514"/>
      <c r="N370" s="60" t="s">
        <v>1944</v>
      </c>
      <c r="O370" s="236" t="s">
        <v>277</v>
      </c>
      <c r="S370" s="22" t="s">
        <v>1865</v>
      </c>
      <c r="T370" s="22" t="s">
        <v>1866</v>
      </c>
      <c r="U370" s="60" t="s">
        <v>258</v>
      </c>
      <c r="V370" s="22" t="s">
        <v>256</v>
      </c>
      <c r="W370" s="497"/>
      <c r="X370" s="159" t="s">
        <v>274</v>
      </c>
      <c r="Y370" s="160">
        <v>25000</v>
      </c>
      <c r="Z370" s="492"/>
      <c r="AA370" s="490"/>
    </row>
    <row r="371" spans="2:27" ht="12.75">
      <c r="B371" s="22" t="s">
        <v>1865</v>
      </c>
      <c r="C371" s="22" t="s">
        <v>1866</v>
      </c>
      <c r="D371" s="60" t="s">
        <v>258</v>
      </c>
      <c r="E371" s="22" t="s">
        <v>256</v>
      </c>
      <c r="F371" s="61">
        <v>5.8200000000000005E-8</v>
      </c>
      <c r="G371" s="22">
        <v>1.57</v>
      </c>
      <c r="H371" s="122">
        <v>0.3292608369914955</v>
      </c>
      <c r="I371" s="81" t="s">
        <v>276</v>
      </c>
      <c r="J371" s="511"/>
      <c r="K371" s="123">
        <v>1.7999999999999999E-2</v>
      </c>
      <c r="L371" s="81" t="s">
        <v>276</v>
      </c>
      <c r="M371" s="514"/>
      <c r="N371" s="60" t="s">
        <v>1945</v>
      </c>
      <c r="O371" s="237" t="s">
        <v>256</v>
      </c>
      <c r="S371" s="22" t="s">
        <v>1865</v>
      </c>
      <c r="T371" s="22" t="s">
        <v>1866</v>
      </c>
      <c r="U371" s="60" t="s">
        <v>258</v>
      </c>
      <c r="V371" s="22" t="s">
        <v>256</v>
      </c>
      <c r="W371" s="497"/>
      <c r="X371" s="155" t="s">
        <v>276</v>
      </c>
      <c r="Y371" s="156">
        <v>25000</v>
      </c>
      <c r="Z371" s="22" t="s">
        <v>1946</v>
      </c>
      <c r="AA371" s="239" t="s">
        <v>256</v>
      </c>
    </row>
    <row r="372" spans="2:27" ht="12.75">
      <c r="B372" s="127" t="s">
        <v>1865</v>
      </c>
      <c r="C372" s="127" t="s">
        <v>2035</v>
      </c>
      <c r="D372" s="128" t="s">
        <v>256</v>
      </c>
      <c r="E372" s="127" t="s">
        <v>256</v>
      </c>
      <c r="F372" s="129" t="s">
        <v>2036</v>
      </c>
      <c r="G372" s="127">
        <v>0.88</v>
      </c>
      <c r="H372" s="122">
        <v>0.66235122466715446</v>
      </c>
      <c r="I372" s="130" t="s">
        <v>274</v>
      </c>
      <c r="J372" s="520">
        <v>2.1344951115014643</v>
      </c>
      <c r="K372" s="123">
        <v>1.9E-2</v>
      </c>
      <c r="L372" s="130" t="s">
        <v>274</v>
      </c>
      <c r="M372" s="518" t="s">
        <v>2032</v>
      </c>
      <c r="N372" s="128" t="s">
        <v>1523</v>
      </c>
      <c r="O372" s="235" t="s">
        <v>275</v>
      </c>
      <c r="S372" s="173" t="s">
        <v>1865</v>
      </c>
      <c r="T372" s="173" t="s">
        <v>2035</v>
      </c>
      <c r="U372" s="174" t="s">
        <v>256</v>
      </c>
      <c r="V372" s="173" t="s">
        <v>256</v>
      </c>
      <c r="W372" s="498">
        <v>15000</v>
      </c>
      <c r="X372" s="175" t="s">
        <v>274</v>
      </c>
      <c r="Y372" s="176">
        <v>11250</v>
      </c>
      <c r="Z372" s="173" t="s">
        <v>1943</v>
      </c>
      <c r="AA372" s="238" t="s">
        <v>275</v>
      </c>
    </row>
    <row r="373" spans="2:27" ht="12.75">
      <c r="B373" s="127" t="s">
        <v>1865</v>
      </c>
      <c r="C373" s="127" t="s">
        <v>2035</v>
      </c>
      <c r="D373" s="128" t="s">
        <v>256</v>
      </c>
      <c r="E373" s="127" t="s">
        <v>256</v>
      </c>
      <c r="F373" s="129" t="s">
        <v>2036</v>
      </c>
      <c r="G373" s="127">
        <v>0.88</v>
      </c>
      <c r="H373" s="122">
        <v>0.66235122466715446</v>
      </c>
      <c r="I373" s="130" t="s">
        <v>276</v>
      </c>
      <c r="J373" s="520"/>
      <c r="K373" s="123">
        <v>1.9E-2</v>
      </c>
      <c r="L373" s="130" t="s">
        <v>274</v>
      </c>
      <c r="M373" s="518"/>
      <c r="N373" s="128" t="s">
        <v>1944</v>
      </c>
      <c r="O373" s="236" t="s">
        <v>277</v>
      </c>
      <c r="S373" s="173" t="s">
        <v>1865</v>
      </c>
      <c r="T373" s="173" t="s">
        <v>2035</v>
      </c>
      <c r="U373" s="174" t="s">
        <v>256</v>
      </c>
      <c r="V373" s="173" t="s">
        <v>256</v>
      </c>
      <c r="W373" s="498"/>
      <c r="X373" s="177" t="s">
        <v>276</v>
      </c>
      <c r="Y373" s="178">
        <v>11250</v>
      </c>
      <c r="Z373" s="495" t="s">
        <v>1944</v>
      </c>
      <c r="AA373" s="490" t="s">
        <v>277</v>
      </c>
    </row>
    <row r="374" spans="2:27" ht="12.75">
      <c r="B374" s="127" t="s">
        <v>1865</v>
      </c>
      <c r="C374" s="127" t="s">
        <v>2035</v>
      </c>
      <c r="D374" s="128" t="s">
        <v>256</v>
      </c>
      <c r="E374" s="127" t="s">
        <v>256</v>
      </c>
      <c r="F374" s="129">
        <v>1.3999999999999999E-4</v>
      </c>
      <c r="G374" s="127">
        <v>0.88</v>
      </c>
      <c r="H374" s="122">
        <v>0.66235122466715446</v>
      </c>
      <c r="I374" s="130" t="s">
        <v>274</v>
      </c>
      <c r="J374" s="520"/>
      <c r="K374" s="123">
        <v>1.9E-2</v>
      </c>
      <c r="L374" s="130" t="s">
        <v>276</v>
      </c>
      <c r="M374" s="518"/>
      <c r="N374" s="128" t="s">
        <v>1944</v>
      </c>
      <c r="O374" s="236" t="s">
        <v>277</v>
      </c>
      <c r="S374" s="173" t="s">
        <v>1865</v>
      </c>
      <c r="T374" s="173" t="s">
        <v>2035</v>
      </c>
      <c r="U374" s="174" t="s">
        <v>256</v>
      </c>
      <c r="V374" s="173" t="s">
        <v>256</v>
      </c>
      <c r="W374" s="498"/>
      <c r="X374" s="179" t="s">
        <v>274</v>
      </c>
      <c r="Y374" s="180">
        <v>18750</v>
      </c>
      <c r="Z374" s="495"/>
      <c r="AA374" s="490"/>
    </row>
    <row r="375" spans="2:27" ht="12.75">
      <c r="B375" s="127" t="s">
        <v>1865</v>
      </c>
      <c r="C375" s="127" t="s">
        <v>2035</v>
      </c>
      <c r="D375" s="128" t="s">
        <v>256</v>
      </c>
      <c r="E375" s="127" t="s">
        <v>256</v>
      </c>
      <c r="F375" s="129">
        <v>1.3999999999999999E-4</v>
      </c>
      <c r="G375" s="127">
        <v>0.88</v>
      </c>
      <c r="H375" s="122">
        <v>0.66235122466715446</v>
      </c>
      <c r="I375" s="130" t="s">
        <v>276</v>
      </c>
      <c r="J375" s="520"/>
      <c r="K375" s="123">
        <v>1.9E-2</v>
      </c>
      <c r="L375" s="130" t="s">
        <v>276</v>
      </c>
      <c r="M375" s="518"/>
      <c r="N375" s="128" t="s">
        <v>1945</v>
      </c>
      <c r="O375" s="237" t="s">
        <v>256</v>
      </c>
      <c r="S375" s="173" t="s">
        <v>1865</v>
      </c>
      <c r="T375" s="173" t="s">
        <v>2035</v>
      </c>
      <c r="U375" s="174" t="s">
        <v>256</v>
      </c>
      <c r="V375" s="173" t="s">
        <v>256</v>
      </c>
      <c r="W375" s="498"/>
      <c r="X375" s="175" t="s">
        <v>276</v>
      </c>
      <c r="Y375" s="176">
        <v>18750</v>
      </c>
      <c r="Z375" s="173" t="s">
        <v>1946</v>
      </c>
      <c r="AA375" s="239" t="s">
        <v>256</v>
      </c>
    </row>
    <row r="376" spans="2:27" ht="12.75">
      <c r="B376" s="62" t="s">
        <v>1865</v>
      </c>
      <c r="C376" s="62" t="s">
        <v>2037</v>
      </c>
      <c r="D376" s="63" t="s">
        <v>1777</v>
      </c>
      <c r="E376" s="62" t="s">
        <v>2038</v>
      </c>
      <c r="F376" s="64" t="s">
        <v>2039</v>
      </c>
      <c r="G376" s="62">
        <v>0.96</v>
      </c>
      <c r="H376" s="122">
        <v>0.75770686229611095</v>
      </c>
      <c r="I376" s="79" t="s">
        <v>274</v>
      </c>
      <c r="J376" s="519">
        <v>0.67712976295048399</v>
      </c>
      <c r="K376" s="123">
        <v>1.7999999999999999E-2</v>
      </c>
      <c r="L376" s="79" t="s">
        <v>274</v>
      </c>
      <c r="M376" s="517">
        <v>0.10150000000000001</v>
      </c>
      <c r="N376" s="63" t="s">
        <v>1523</v>
      </c>
      <c r="O376" s="235" t="s">
        <v>275</v>
      </c>
      <c r="S376" s="62" t="s">
        <v>1865</v>
      </c>
      <c r="T376" s="62" t="s">
        <v>2037</v>
      </c>
      <c r="U376" s="63" t="s">
        <v>1777</v>
      </c>
      <c r="V376" s="62" t="s">
        <v>2038</v>
      </c>
      <c r="W376" s="499">
        <v>35000</v>
      </c>
      <c r="X376" s="181" t="s">
        <v>274</v>
      </c>
      <c r="Y376" s="182">
        <v>26250</v>
      </c>
      <c r="Z376" s="62" t="s">
        <v>1943</v>
      </c>
      <c r="AA376" s="238" t="s">
        <v>275</v>
      </c>
    </row>
    <row r="377" spans="2:27" ht="12.75">
      <c r="B377" s="62" t="s">
        <v>1865</v>
      </c>
      <c r="C377" s="62" t="s">
        <v>2037</v>
      </c>
      <c r="D377" s="63" t="s">
        <v>1777</v>
      </c>
      <c r="E377" s="62" t="s">
        <v>2038</v>
      </c>
      <c r="F377" s="64" t="s">
        <v>2039</v>
      </c>
      <c r="G377" s="62">
        <v>0.96</v>
      </c>
      <c r="H377" s="122">
        <v>0.75770686229611095</v>
      </c>
      <c r="I377" s="79" t="s">
        <v>276</v>
      </c>
      <c r="J377" s="519"/>
      <c r="K377" s="123">
        <v>1.7999999999999999E-2</v>
      </c>
      <c r="L377" s="79" t="s">
        <v>274</v>
      </c>
      <c r="M377" s="517"/>
      <c r="N377" s="63" t="s">
        <v>1944</v>
      </c>
      <c r="O377" s="236" t="s">
        <v>277</v>
      </c>
      <c r="S377" s="62" t="s">
        <v>1865</v>
      </c>
      <c r="T377" s="62" t="s">
        <v>2037</v>
      </c>
      <c r="U377" s="63" t="s">
        <v>1777</v>
      </c>
      <c r="V377" s="62" t="s">
        <v>2038</v>
      </c>
      <c r="W377" s="499"/>
      <c r="X377" s="183" t="s">
        <v>276</v>
      </c>
      <c r="Y377" s="184">
        <v>26250</v>
      </c>
      <c r="Z377" s="494" t="s">
        <v>1944</v>
      </c>
      <c r="AA377" s="490" t="s">
        <v>277</v>
      </c>
    </row>
    <row r="378" spans="2:27" ht="12.75">
      <c r="B378" s="62" t="s">
        <v>1865</v>
      </c>
      <c r="C378" s="62" t="s">
        <v>2037</v>
      </c>
      <c r="D378" s="63" t="s">
        <v>1777</v>
      </c>
      <c r="E378" s="62" t="s">
        <v>2038</v>
      </c>
      <c r="F378" s="64">
        <v>3.29E-5</v>
      </c>
      <c r="G378" s="62">
        <v>0.96</v>
      </c>
      <c r="H378" s="122">
        <v>0.75770686229611095</v>
      </c>
      <c r="I378" s="79" t="s">
        <v>274</v>
      </c>
      <c r="J378" s="519"/>
      <c r="K378" s="123">
        <v>1.7999999999999999E-2</v>
      </c>
      <c r="L378" s="79" t="s">
        <v>276</v>
      </c>
      <c r="M378" s="517"/>
      <c r="N378" s="63" t="s">
        <v>1944</v>
      </c>
      <c r="O378" s="236" t="s">
        <v>277</v>
      </c>
      <c r="S378" s="62" t="s">
        <v>1865</v>
      </c>
      <c r="T378" s="62" t="s">
        <v>2037</v>
      </c>
      <c r="U378" s="63" t="s">
        <v>1777</v>
      </c>
      <c r="V378" s="62" t="s">
        <v>2038</v>
      </c>
      <c r="W378" s="499"/>
      <c r="X378" s="185" t="s">
        <v>274</v>
      </c>
      <c r="Y378" s="186">
        <v>43750</v>
      </c>
      <c r="Z378" s="494"/>
      <c r="AA378" s="490"/>
    </row>
    <row r="379" spans="2:27" ht="12.75">
      <c r="B379" s="62" t="s">
        <v>1865</v>
      </c>
      <c r="C379" s="62" t="s">
        <v>2037</v>
      </c>
      <c r="D379" s="63" t="s">
        <v>1777</v>
      </c>
      <c r="E379" s="62" t="s">
        <v>2038</v>
      </c>
      <c r="F379" s="64">
        <v>3.29E-5</v>
      </c>
      <c r="G379" s="62">
        <v>0.96</v>
      </c>
      <c r="H379" s="122">
        <v>0.75770686229611095</v>
      </c>
      <c r="I379" s="79" t="s">
        <v>276</v>
      </c>
      <c r="J379" s="519"/>
      <c r="K379" s="123">
        <v>1.7999999999999999E-2</v>
      </c>
      <c r="L379" s="79" t="s">
        <v>276</v>
      </c>
      <c r="M379" s="517"/>
      <c r="N379" s="63" t="s">
        <v>1945</v>
      </c>
      <c r="O379" s="237" t="s">
        <v>256</v>
      </c>
      <c r="S379" s="62" t="s">
        <v>1865</v>
      </c>
      <c r="T379" s="62" t="s">
        <v>2037</v>
      </c>
      <c r="U379" s="63" t="s">
        <v>1777</v>
      </c>
      <c r="V379" s="62" t="s">
        <v>2038</v>
      </c>
      <c r="W379" s="499"/>
      <c r="X379" s="181" t="s">
        <v>276</v>
      </c>
      <c r="Y379" s="182">
        <v>43750</v>
      </c>
      <c r="Z379" s="62" t="s">
        <v>1946</v>
      </c>
      <c r="AA379" s="239" t="s">
        <v>256</v>
      </c>
    </row>
    <row r="380" spans="2:27" ht="12.75">
      <c r="B380" s="35" t="s">
        <v>1865</v>
      </c>
      <c r="C380" s="35" t="s">
        <v>2037</v>
      </c>
      <c r="D380" s="35" t="s">
        <v>1777</v>
      </c>
      <c r="E380" s="35" t="s">
        <v>2040</v>
      </c>
      <c r="F380" s="35" t="s">
        <v>2041</v>
      </c>
      <c r="G380" s="35">
        <v>0.84</v>
      </c>
      <c r="H380" s="122">
        <v>0.43539846491360296</v>
      </c>
      <c r="I380" s="80" t="s">
        <v>274</v>
      </c>
      <c r="J380" s="510">
        <v>0.67712976295048399</v>
      </c>
      <c r="K380" s="123">
        <v>6.0999999999999999E-2</v>
      </c>
      <c r="L380" s="80" t="s">
        <v>274</v>
      </c>
      <c r="M380" s="513">
        <v>0.10150000000000001</v>
      </c>
      <c r="N380" s="35" t="s">
        <v>1523</v>
      </c>
      <c r="O380" s="235" t="s">
        <v>275</v>
      </c>
      <c r="S380" s="35" t="s">
        <v>1865</v>
      </c>
      <c r="T380" s="35" t="s">
        <v>2037</v>
      </c>
      <c r="U380" s="35" t="s">
        <v>1777</v>
      </c>
      <c r="V380" s="35" t="s">
        <v>2040</v>
      </c>
      <c r="W380" s="496">
        <v>18000</v>
      </c>
      <c r="X380" s="149" t="s">
        <v>274</v>
      </c>
      <c r="Y380" s="150">
        <v>13500</v>
      </c>
      <c r="Z380" s="35" t="s">
        <v>1943</v>
      </c>
      <c r="AA380" s="238" t="s">
        <v>275</v>
      </c>
    </row>
    <row r="381" spans="2:27" ht="12.75">
      <c r="B381" s="35" t="s">
        <v>1865</v>
      </c>
      <c r="C381" s="35" t="s">
        <v>2037</v>
      </c>
      <c r="D381" s="35" t="s">
        <v>1777</v>
      </c>
      <c r="E381" s="35" t="s">
        <v>2040</v>
      </c>
      <c r="F381" s="35" t="s">
        <v>2041</v>
      </c>
      <c r="G381" s="35">
        <v>0.84</v>
      </c>
      <c r="H381" s="122">
        <v>0.43539846491360296</v>
      </c>
      <c r="I381" s="80" t="s">
        <v>276</v>
      </c>
      <c r="J381" s="510"/>
      <c r="K381" s="123">
        <v>6.0999999999999999E-2</v>
      </c>
      <c r="L381" s="80" t="s">
        <v>274</v>
      </c>
      <c r="M381" s="513"/>
      <c r="N381" s="35" t="s">
        <v>1944</v>
      </c>
      <c r="O381" s="236" t="s">
        <v>277</v>
      </c>
      <c r="S381" s="35" t="s">
        <v>1865</v>
      </c>
      <c r="T381" s="35" t="s">
        <v>2037</v>
      </c>
      <c r="U381" s="35" t="s">
        <v>1777</v>
      </c>
      <c r="V381" s="35" t="s">
        <v>2040</v>
      </c>
      <c r="W381" s="496"/>
      <c r="X381" s="151" t="s">
        <v>276</v>
      </c>
      <c r="Y381" s="152">
        <v>13500</v>
      </c>
      <c r="Z381" s="491" t="s">
        <v>1944</v>
      </c>
      <c r="AA381" s="490" t="s">
        <v>277</v>
      </c>
    </row>
    <row r="382" spans="2:27" ht="12.75">
      <c r="B382" s="35" t="s">
        <v>1865</v>
      </c>
      <c r="C382" s="35" t="s">
        <v>2037</v>
      </c>
      <c r="D382" s="35" t="s">
        <v>1777</v>
      </c>
      <c r="E382" s="35" t="s">
        <v>2040</v>
      </c>
      <c r="F382" s="35">
        <v>1.16E-4</v>
      </c>
      <c r="G382" s="35">
        <v>0.84</v>
      </c>
      <c r="H382" s="122">
        <v>0.43539846491360296</v>
      </c>
      <c r="I382" s="80" t="s">
        <v>274</v>
      </c>
      <c r="J382" s="510"/>
      <c r="K382" s="123">
        <v>6.0999999999999999E-2</v>
      </c>
      <c r="L382" s="80" t="s">
        <v>276</v>
      </c>
      <c r="M382" s="513"/>
      <c r="N382" s="35" t="s">
        <v>1944</v>
      </c>
      <c r="O382" s="236" t="s">
        <v>277</v>
      </c>
      <c r="S382" s="35" t="s">
        <v>1865</v>
      </c>
      <c r="T382" s="35" t="s">
        <v>2037</v>
      </c>
      <c r="U382" s="35" t="s">
        <v>1777</v>
      </c>
      <c r="V382" s="35" t="s">
        <v>2040</v>
      </c>
      <c r="W382" s="496"/>
      <c r="X382" s="153" t="s">
        <v>274</v>
      </c>
      <c r="Y382" s="154">
        <v>22500</v>
      </c>
      <c r="Z382" s="491"/>
      <c r="AA382" s="490"/>
    </row>
    <row r="383" spans="2:27" ht="12.75">
      <c r="B383" s="35" t="s">
        <v>1865</v>
      </c>
      <c r="C383" s="35" t="s">
        <v>2037</v>
      </c>
      <c r="D383" s="35" t="s">
        <v>1777</v>
      </c>
      <c r="E383" s="35" t="s">
        <v>2040</v>
      </c>
      <c r="F383" s="35">
        <v>1.16E-4</v>
      </c>
      <c r="G383" s="35">
        <v>0.84</v>
      </c>
      <c r="H383" s="122">
        <v>0.43539846491360296</v>
      </c>
      <c r="I383" s="80" t="s">
        <v>276</v>
      </c>
      <c r="J383" s="510"/>
      <c r="K383" s="123">
        <v>6.0999999999999999E-2</v>
      </c>
      <c r="L383" s="80" t="s">
        <v>276</v>
      </c>
      <c r="M383" s="513"/>
      <c r="N383" s="35" t="s">
        <v>1945</v>
      </c>
      <c r="O383" s="237" t="s">
        <v>256</v>
      </c>
      <c r="S383" s="35" t="s">
        <v>1865</v>
      </c>
      <c r="T383" s="35" t="s">
        <v>2037</v>
      </c>
      <c r="U383" s="35" t="s">
        <v>1777</v>
      </c>
      <c r="V383" s="35" t="s">
        <v>2040</v>
      </c>
      <c r="W383" s="496"/>
      <c r="X383" s="149" t="s">
        <v>276</v>
      </c>
      <c r="Y383" s="150">
        <v>22500</v>
      </c>
      <c r="Z383" s="35" t="s">
        <v>1946</v>
      </c>
      <c r="AA383" s="239" t="s">
        <v>256</v>
      </c>
    </row>
    <row r="384" spans="2:27" ht="12.75">
      <c r="B384" s="22" t="s">
        <v>1865</v>
      </c>
      <c r="C384" s="22" t="s">
        <v>2037</v>
      </c>
      <c r="D384" s="60" t="s">
        <v>258</v>
      </c>
      <c r="E384" s="22" t="s">
        <v>2038</v>
      </c>
      <c r="F384" s="61" t="s">
        <v>2042</v>
      </c>
      <c r="G384" s="22">
        <v>1.08</v>
      </c>
      <c r="H384" s="122">
        <v>0.3387721959462901</v>
      </c>
      <c r="I384" s="81" t="s">
        <v>274</v>
      </c>
      <c r="J384" s="511">
        <v>0.67712976295048399</v>
      </c>
      <c r="K384" s="123">
        <v>6.7000000000000004E-2</v>
      </c>
      <c r="L384" s="81" t="s">
        <v>274</v>
      </c>
      <c r="M384" s="514">
        <v>0.10150000000000001</v>
      </c>
      <c r="N384" s="22" t="s">
        <v>1523</v>
      </c>
      <c r="O384" s="235" t="s">
        <v>275</v>
      </c>
      <c r="S384" s="22" t="s">
        <v>1865</v>
      </c>
      <c r="T384" s="22" t="s">
        <v>2037</v>
      </c>
      <c r="U384" s="60" t="s">
        <v>258</v>
      </c>
      <c r="V384" s="22" t="s">
        <v>2038</v>
      </c>
      <c r="W384" s="497">
        <v>20000</v>
      </c>
      <c r="X384" s="155" t="s">
        <v>274</v>
      </c>
      <c r="Y384" s="156">
        <v>15000</v>
      </c>
      <c r="Z384" s="22" t="s">
        <v>1943</v>
      </c>
      <c r="AA384" s="238" t="s">
        <v>275</v>
      </c>
    </row>
    <row r="385" spans="2:27" ht="12.75">
      <c r="B385" s="22" t="s">
        <v>1865</v>
      </c>
      <c r="C385" s="22" t="s">
        <v>2037</v>
      </c>
      <c r="D385" s="60" t="s">
        <v>258</v>
      </c>
      <c r="E385" s="22" t="s">
        <v>2038</v>
      </c>
      <c r="F385" s="61" t="s">
        <v>2042</v>
      </c>
      <c r="G385" s="22">
        <v>1.08</v>
      </c>
      <c r="H385" s="122">
        <v>0.3387721959462901</v>
      </c>
      <c r="I385" s="81" t="s">
        <v>276</v>
      </c>
      <c r="J385" s="511"/>
      <c r="K385" s="123">
        <v>6.7000000000000004E-2</v>
      </c>
      <c r="L385" s="81" t="s">
        <v>274</v>
      </c>
      <c r="M385" s="514"/>
      <c r="N385" s="22" t="s">
        <v>1944</v>
      </c>
      <c r="O385" s="236" t="s">
        <v>277</v>
      </c>
      <c r="S385" s="22" t="s">
        <v>1865</v>
      </c>
      <c r="T385" s="22" t="s">
        <v>2037</v>
      </c>
      <c r="U385" s="60" t="s">
        <v>258</v>
      </c>
      <c r="V385" s="22" t="s">
        <v>2038</v>
      </c>
      <c r="W385" s="497"/>
      <c r="X385" s="157" t="s">
        <v>276</v>
      </c>
      <c r="Y385" s="158">
        <v>15000</v>
      </c>
      <c r="Z385" s="492" t="s">
        <v>1944</v>
      </c>
      <c r="AA385" s="490" t="s">
        <v>277</v>
      </c>
    </row>
    <row r="386" spans="2:27" ht="12.75">
      <c r="B386" s="22" t="s">
        <v>1865</v>
      </c>
      <c r="C386" s="22" t="s">
        <v>2037</v>
      </c>
      <c r="D386" s="60" t="s">
        <v>258</v>
      </c>
      <c r="E386" s="22" t="s">
        <v>2038</v>
      </c>
      <c r="F386" s="61">
        <v>7.6699999999999994E-6</v>
      </c>
      <c r="G386" s="22">
        <v>1.08</v>
      </c>
      <c r="H386" s="122">
        <v>0.3387721959462901</v>
      </c>
      <c r="I386" s="81" t="s">
        <v>274</v>
      </c>
      <c r="J386" s="511"/>
      <c r="K386" s="123">
        <v>6.7000000000000004E-2</v>
      </c>
      <c r="L386" s="81" t="s">
        <v>276</v>
      </c>
      <c r="M386" s="514"/>
      <c r="N386" s="22" t="s">
        <v>1944</v>
      </c>
      <c r="O386" s="236" t="s">
        <v>277</v>
      </c>
      <c r="S386" s="22" t="s">
        <v>1865</v>
      </c>
      <c r="T386" s="22" t="s">
        <v>2037</v>
      </c>
      <c r="U386" s="60" t="s">
        <v>258</v>
      </c>
      <c r="V386" s="22" t="s">
        <v>2038</v>
      </c>
      <c r="W386" s="497"/>
      <c r="X386" s="159" t="s">
        <v>274</v>
      </c>
      <c r="Y386" s="160">
        <v>25000</v>
      </c>
      <c r="Z386" s="492"/>
      <c r="AA386" s="490"/>
    </row>
    <row r="387" spans="2:27" ht="12.75">
      <c r="B387" s="22" t="s">
        <v>1865</v>
      </c>
      <c r="C387" s="22" t="s">
        <v>2037</v>
      </c>
      <c r="D387" s="60" t="s">
        <v>258</v>
      </c>
      <c r="E387" s="22" t="s">
        <v>2038</v>
      </c>
      <c r="F387" s="61">
        <v>7.6699999999999994E-6</v>
      </c>
      <c r="G387" s="22">
        <v>1.08</v>
      </c>
      <c r="H387" s="122">
        <v>0.3387721959462901</v>
      </c>
      <c r="I387" s="81" t="s">
        <v>276</v>
      </c>
      <c r="J387" s="511"/>
      <c r="K387" s="123">
        <v>6.7000000000000004E-2</v>
      </c>
      <c r="L387" s="81" t="s">
        <v>276</v>
      </c>
      <c r="M387" s="514"/>
      <c r="N387" s="22" t="s">
        <v>1945</v>
      </c>
      <c r="O387" s="237" t="s">
        <v>256</v>
      </c>
      <c r="S387" s="22" t="s">
        <v>1865</v>
      </c>
      <c r="T387" s="22" t="s">
        <v>2037</v>
      </c>
      <c r="U387" s="60" t="s">
        <v>258</v>
      </c>
      <c r="V387" s="22" t="s">
        <v>2038</v>
      </c>
      <c r="W387" s="497"/>
      <c r="X387" s="155" t="s">
        <v>276</v>
      </c>
      <c r="Y387" s="156">
        <v>25000</v>
      </c>
      <c r="Z387" s="22" t="s">
        <v>1946</v>
      </c>
      <c r="AA387" s="239" t="s">
        <v>256</v>
      </c>
    </row>
    <row r="388" spans="2:27" ht="12.75">
      <c r="B388" s="22" t="s">
        <v>1865</v>
      </c>
      <c r="C388" s="22" t="s">
        <v>2037</v>
      </c>
      <c r="D388" s="22" t="s">
        <v>258</v>
      </c>
      <c r="E388" s="22" t="s">
        <v>2040</v>
      </c>
      <c r="F388" s="22" t="s">
        <v>2043</v>
      </c>
      <c r="G388" s="22">
        <v>0.84</v>
      </c>
      <c r="H388" s="122">
        <v>0.25879546514324886</v>
      </c>
      <c r="I388" s="81" t="s">
        <v>274</v>
      </c>
      <c r="J388" s="511">
        <v>0.67712976295048399</v>
      </c>
      <c r="K388" s="123">
        <v>0.113</v>
      </c>
      <c r="L388" s="81" t="s">
        <v>274</v>
      </c>
      <c r="M388" s="514">
        <v>0.10150000000000001</v>
      </c>
      <c r="N388" s="22" t="s">
        <v>1523</v>
      </c>
      <c r="O388" s="235" t="s">
        <v>275</v>
      </c>
      <c r="S388" s="22" t="s">
        <v>1865</v>
      </c>
      <c r="T388" s="22" t="s">
        <v>2037</v>
      </c>
      <c r="U388" s="22" t="s">
        <v>258</v>
      </c>
      <c r="V388" s="22" t="s">
        <v>2040</v>
      </c>
      <c r="W388" s="497">
        <v>17500</v>
      </c>
      <c r="X388" s="155" t="s">
        <v>274</v>
      </c>
      <c r="Y388" s="156">
        <v>13125</v>
      </c>
      <c r="Z388" s="22" t="s">
        <v>1943</v>
      </c>
      <c r="AA388" s="238" t="s">
        <v>275</v>
      </c>
    </row>
    <row r="389" spans="2:27" ht="12.75">
      <c r="B389" s="22" t="s">
        <v>1865</v>
      </c>
      <c r="C389" s="22" t="s">
        <v>2037</v>
      </c>
      <c r="D389" s="22" t="s">
        <v>258</v>
      </c>
      <c r="E389" s="22" t="s">
        <v>2040</v>
      </c>
      <c r="F389" s="22" t="s">
        <v>2043</v>
      </c>
      <c r="G389" s="22">
        <v>0.84</v>
      </c>
      <c r="H389" s="122">
        <v>0.25879546514324886</v>
      </c>
      <c r="I389" s="81" t="s">
        <v>276</v>
      </c>
      <c r="J389" s="511"/>
      <c r="K389" s="123">
        <v>0.113</v>
      </c>
      <c r="L389" s="81" t="s">
        <v>274</v>
      </c>
      <c r="M389" s="514"/>
      <c r="N389" s="22" t="s">
        <v>1944</v>
      </c>
      <c r="O389" s="236" t="s">
        <v>277</v>
      </c>
      <c r="S389" s="22" t="s">
        <v>1865</v>
      </c>
      <c r="T389" s="22" t="s">
        <v>2037</v>
      </c>
      <c r="U389" s="22" t="s">
        <v>258</v>
      </c>
      <c r="V389" s="22" t="s">
        <v>2040</v>
      </c>
      <c r="W389" s="497"/>
      <c r="X389" s="157" t="s">
        <v>276</v>
      </c>
      <c r="Y389" s="158">
        <v>13125</v>
      </c>
      <c r="Z389" s="492" t="s">
        <v>1944</v>
      </c>
      <c r="AA389" s="490" t="s">
        <v>277</v>
      </c>
    </row>
    <row r="390" spans="2:27" ht="12.75">
      <c r="B390" s="22" t="s">
        <v>1865</v>
      </c>
      <c r="C390" s="22" t="s">
        <v>2037</v>
      </c>
      <c r="D390" s="22" t="s">
        <v>258</v>
      </c>
      <c r="E390" s="22" t="s">
        <v>2040</v>
      </c>
      <c r="F390" s="22">
        <v>7.0600000000000008E-5</v>
      </c>
      <c r="G390" s="22">
        <v>0.84</v>
      </c>
      <c r="H390" s="122">
        <v>0.25879546514324886</v>
      </c>
      <c r="I390" s="81" t="s">
        <v>274</v>
      </c>
      <c r="J390" s="511"/>
      <c r="K390" s="123">
        <v>0.113</v>
      </c>
      <c r="L390" s="81" t="s">
        <v>276</v>
      </c>
      <c r="M390" s="514"/>
      <c r="N390" s="22" t="s">
        <v>1944</v>
      </c>
      <c r="O390" s="236" t="s">
        <v>277</v>
      </c>
      <c r="S390" s="22" t="s">
        <v>1865</v>
      </c>
      <c r="T390" s="22" t="s">
        <v>2037</v>
      </c>
      <c r="U390" s="22" t="s">
        <v>258</v>
      </c>
      <c r="V390" s="22" t="s">
        <v>2040</v>
      </c>
      <c r="W390" s="497"/>
      <c r="X390" s="159" t="s">
        <v>274</v>
      </c>
      <c r="Y390" s="160">
        <v>21875</v>
      </c>
      <c r="Z390" s="492"/>
      <c r="AA390" s="490"/>
    </row>
    <row r="391" spans="2:27" ht="12.75">
      <c r="B391" s="22" t="s">
        <v>1865</v>
      </c>
      <c r="C391" s="22" t="s">
        <v>2037</v>
      </c>
      <c r="D391" s="22" t="s">
        <v>258</v>
      </c>
      <c r="E391" s="22" t="s">
        <v>2040</v>
      </c>
      <c r="F391" s="22">
        <v>7.0600000000000008E-5</v>
      </c>
      <c r="G391" s="22">
        <v>0.84</v>
      </c>
      <c r="H391" s="122">
        <v>0.25879546514324886</v>
      </c>
      <c r="I391" s="81" t="s">
        <v>276</v>
      </c>
      <c r="J391" s="511"/>
      <c r="K391" s="123">
        <v>0.113</v>
      </c>
      <c r="L391" s="81" t="s">
        <v>276</v>
      </c>
      <c r="M391" s="514"/>
      <c r="N391" s="22" t="s">
        <v>1945</v>
      </c>
      <c r="O391" s="237" t="s">
        <v>256</v>
      </c>
      <c r="S391" s="22" t="s">
        <v>1865</v>
      </c>
      <c r="T391" s="22" t="s">
        <v>2037</v>
      </c>
      <c r="U391" s="22" t="s">
        <v>258</v>
      </c>
      <c r="V391" s="22" t="s">
        <v>2040</v>
      </c>
      <c r="W391" s="497"/>
      <c r="X391" s="155" t="s">
        <v>276</v>
      </c>
      <c r="Y391" s="156">
        <v>21875</v>
      </c>
      <c r="Z391" s="22" t="s">
        <v>1946</v>
      </c>
      <c r="AA391" s="239" t="s">
        <v>256</v>
      </c>
    </row>
  </sheetData>
  <mergeCells count="487">
    <mergeCell ref="AC293:AC294"/>
    <mergeCell ref="AC285:AC286"/>
    <mergeCell ref="AB26:AB27"/>
    <mergeCell ref="AB30:AB31"/>
    <mergeCell ref="AB34:AB35"/>
    <mergeCell ref="AB38:AB39"/>
    <mergeCell ref="AA34:AA35"/>
    <mergeCell ref="AA38:AA39"/>
    <mergeCell ref="AB285:AB286"/>
    <mergeCell ref="AB289:AB290"/>
    <mergeCell ref="AB173:AB174"/>
    <mergeCell ref="AB153:AB154"/>
    <mergeCell ref="AB133:AB134"/>
    <mergeCell ref="AB86:AB87"/>
    <mergeCell ref="AB90:AB91"/>
    <mergeCell ref="AA94:AA95"/>
    <mergeCell ref="AB273:AB274"/>
    <mergeCell ref="AC273:AC274"/>
    <mergeCell ref="AB277:AB278"/>
    <mergeCell ref="AC277:AC278"/>
    <mergeCell ref="AB281:AB282"/>
    <mergeCell ref="AC281:AC282"/>
    <mergeCell ref="AC237:AC238"/>
    <mergeCell ref="AC241:AC242"/>
    <mergeCell ref="X5:X8"/>
    <mergeCell ref="X9:X12"/>
    <mergeCell ref="AA10:AA11"/>
    <mergeCell ref="AB10:AB11"/>
    <mergeCell ref="AB14:AB15"/>
    <mergeCell ref="AB18:AB19"/>
    <mergeCell ref="AB22:AB23"/>
    <mergeCell ref="AB297:AB298"/>
    <mergeCell ref="AB293:AB294"/>
    <mergeCell ref="AB241:AB242"/>
    <mergeCell ref="AB245:AB246"/>
    <mergeCell ref="AB205:AB206"/>
    <mergeCell ref="AA98:AA99"/>
    <mergeCell ref="AB94:AB95"/>
    <mergeCell ref="AB98:AB99"/>
    <mergeCell ref="AB125:AB126"/>
    <mergeCell ref="X97:X100"/>
    <mergeCell ref="AA82:AA83"/>
    <mergeCell ref="AA86:AA87"/>
    <mergeCell ref="AA90:AA91"/>
    <mergeCell ref="Y180:Y183"/>
    <mergeCell ref="Y184:Y187"/>
    <mergeCell ref="Y188:Y191"/>
    <mergeCell ref="Y192:Y195"/>
    <mergeCell ref="AC245:AC246"/>
    <mergeCell ref="AB249:AB250"/>
    <mergeCell ref="AC249:AC250"/>
    <mergeCell ref="AB6:AB7"/>
    <mergeCell ref="AA6:AA7"/>
    <mergeCell ref="AB213:AB214"/>
    <mergeCell ref="AC213:AC214"/>
    <mergeCell ref="AB217:AB218"/>
    <mergeCell ref="AC217:AC218"/>
    <mergeCell ref="AB221:AB222"/>
    <mergeCell ref="AC221:AC222"/>
    <mergeCell ref="AB225:AB226"/>
    <mergeCell ref="AC225:AC226"/>
    <mergeCell ref="AB229:AB230"/>
    <mergeCell ref="AC229:AC230"/>
    <mergeCell ref="AB233:AB234"/>
    <mergeCell ref="AC233:AC234"/>
    <mergeCell ref="AB237:AB238"/>
    <mergeCell ref="AB193:AB194"/>
    <mergeCell ref="AC193:AC194"/>
    <mergeCell ref="AB197:AB198"/>
    <mergeCell ref="AC197:AC198"/>
    <mergeCell ref="AB201:AB202"/>
    <mergeCell ref="AC201:AC202"/>
    <mergeCell ref="AC289:AC290"/>
    <mergeCell ref="AB253:AB254"/>
    <mergeCell ref="AC253:AC254"/>
    <mergeCell ref="AB257:AB258"/>
    <mergeCell ref="AC257:AC258"/>
    <mergeCell ref="AB261:AB262"/>
    <mergeCell ref="AC261:AC262"/>
    <mergeCell ref="AB265:AB266"/>
    <mergeCell ref="AC265:AC266"/>
    <mergeCell ref="AB269:AB270"/>
    <mergeCell ref="AC269:AC270"/>
    <mergeCell ref="AC205:AC206"/>
    <mergeCell ref="AB209:AB210"/>
    <mergeCell ref="AC209:AC210"/>
    <mergeCell ref="AC173:AC174"/>
    <mergeCell ref="AB177:AB178"/>
    <mergeCell ref="AC177:AC178"/>
    <mergeCell ref="AB181:AB182"/>
    <mergeCell ref="AC181:AC182"/>
    <mergeCell ref="AB185:AB186"/>
    <mergeCell ref="AC185:AC186"/>
    <mergeCell ref="AB189:AB190"/>
    <mergeCell ref="AC189:AC190"/>
    <mergeCell ref="AC153:AC154"/>
    <mergeCell ref="AB157:AB158"/>
    <mergeCell ref="AC157:AC158"/>
    <mergeCell ref="AB161:AB162"/>
    <mergeCell ref="AC161:AC162"/>
    <mergeCell ref="AB165:AB166"/>
    <mergeCell ref="AC165:AC166"/>
    <mergeCell ref="AB169:AB170"/>
    <mergeCell ref="AC169:AC170"/>
    <mergeCell ref="AC133:AC134"/>
    <mergeCell ref="AB137:AB138"/>
    <mergeCell ref="AC137:AC138"/>
    <mergeCell ref="AB141:AB142"/>
    <mergeCell ref="AC141:AC142"/>
    <mergeCell ref="AB145:AB146"/>
    <mergeCell ref="AC145:AC146"/>
    <mergeCell ref="AB149:AB150"/>
    <mergeCell ref="AC149:AC150"/>
    <mergeCell ref="AC125:AC126"/>
    <mergeCell ref="AB129:AB130"/>
    <mergeCell ref="AC129:AC130"/>
    <mergeCell ref="AB42:AB43"/>
    <mergeCell ref="AA46:AA47"/>
    <mergeCell ref="AA50:AA51"/>
    <mergeCell ref="AA54:AA55"/>
    <mergeCell ref="AB46:AB47"/>
    <mergeCell ref="AB50:AB51"/>
    <mergeCell ref="AB54:AB55"/>
    <mergeCell ref="AA58:AA59"/>
    <mergeCell ref="AA62:AA63"/>
    <mergeCell ref="AB58:AB59"/>
    <mergeCell ref="AB62:AB63"/>
    <mergeCell ref="AA42:AA43"/>
    <mergeCell ref="AB66:AB67"/>
    <mergeCell ref="AB70:AB71"/>
    <mergeCell ref="AB74:AB75"/>
    <mergeCell ref="AB78:AB79"/>
    <mergeCell ref="AB82:AB83"/>
    <mergeCell ref="AA66:AA67"/>
    <mergeCell ref="AA70:AA71"/>
    <mergeCell ref="AA74:AA75"/>
    <mergeCell ref="AA78:AA79"/>
    <mergeCell ref="K5:K8"/>
    <mergeCell ref="K9:K12"/>
    <mergeCell ref="K13:K16"/>
    <mergeCell ref="K17:K20"/>
    <mergeCell ref="K21:K24"/>
    <mergeCell ref="K25:K28"/>
    <mergeCell ref="K29:K32"/>
    <mergeCell ref="K33:K36"/>
    <mergeCell ref="K37:K40"/>
    <mergeCell ref="K41:K44"/>
    <mergeCell ref="K45:K48"/>
    <mergeCell ref="K49:K52"/>
    <mergeCell ref="K53:K56"/>
    <mergeCell ref="K57:K60"/>
    <mergeCell ref="K61:K64"/>
    <mergeCell ref="K65:K68"/>
    <mergeCell ref="K69:K72"/>
    <mergeCell ref="K73:K76"/>
    <mergeCell ref="K77:K80"/>
    <mergeCell ref="K81:K84"/>
    <mergeCell ref="K85:K88"/>
    <mergeCell ref="K89:K92"/>
    <mergeCell ref="K93:K96"/>
    <mergeCell ref="K97:K100"/>
    <mergeCell ref="N5:N8"/>
    <mergeCell ref="N9:N12"/>
    <mergeCell ref="N13:N16"/>
    <mergeCell ref="N17:N20"/>
    <mergeCell ref="N21:N24"/>
    <mergeCell ref="N25:N28"/>
    <mergeCell ref="N29:N32"/>
    <mergeCell ref="N33:N36"/>
    <mergeCell ref="N37:N40"/>
    <mergeCell ref="N41:N44"/>
    <mergeCell ref="N45:N48"/>
    <mergeCell ref="N49:N52"/>
    <mergeCell ref="N53:N56"/>
    <mergeCell ref="N57:N60"/>
    <mergeCell ref="N61:N64"/>
    <mergeCell ref="N65:N68"/>
    <mergeCell ref="N69:N72"/>
    <mergeCell ref="N73:N76"/>
    <mergeCell ref="N77:N80"/>
    <mergeCell ref="N81:N84"/>
    <mergeCell ref="N85:N88"/>
    <mergeCell ref="N89:N92"/>
    <mergeCell ref="N93:N96"/>
    <mergeCell ref="N97:N100"/>
    <mergeCell ref="O4:P4"/>
    <mergeCell ref="AA4:AB4"/>
    <mergeCell ref="L104:L107"/>
    <mergeCell ref="X13:X16"/>
    <mergeCell ref="X17:X20"/>
    <mergeCell ref="X21:X24"/>
    <mergeCell ref="X25:X28"/>
    <mergeCell ref="X29:X32"/>
    <mergeCell ref="X33:X36"/>
    <mergeCell ref="X37:X40"/>
    <mergeCell ref="X41:X44"/>
    <mergeCell ref="X45:X48"/>
    <mergeCell ref="X49:X52"/>
    <mergeCell ref="X53:X56"/>
    <mergeCell ref="X57:X60"/>
    <mergeCell ref="X61:X64"/>
    <mergeCell ref="X65:X68"/>
    <mergeCell ref="X69:X72"/>
    <mergeCell ref="L108:L111"/>
    <mergeCell ref="L112:L115"/>
    <mergeCell ref="L116:L119"/>
    <mergeCell ref="L120:L123"/>
    <mergeCell ref="L124:L127"/>
    <mergeCell ref="L128:L131"/>
    <mergeCell ref="L132:L135"/>
    <mergeCell ref="L136:L139"/>
    <mergeCell ref="L140:L143"/>
    <mergeCell ref="O164:O167"/>
    <mergeCell ref="O168:O171"/>
    <mergeCell ref="O172:O175"/>
    <mergeCell ref="O176:O179"/>
    <mergeCell ref="L144:L147"/>
    <mergeCell ref="L148:L151"/>
    <mergeCell ref="L152:L155"/>
    <mergeCell ref="L156:L159"/>
    <mergeCell ref="L160:L163"/>
    <mergeCell ref="L164:L167"/>
    <mergeCell ref="L168:L171"/>
    <mergeCell ref="L172:L175"/>
    <mergeCell ref="L176:L179"/>
    <mergeCell ref="L272:L275"/>
    <mergeCell ref="L276:L279"/>
    <mergeCell ref="L280:L283"/>
    <mergeCell ref="L284:L287"/>
    <mergeCell ref="L288:L291"/>
    <mergeCell ref="O180:O183"/>
    <mergeCell ref="O184:O187"/>
    <mergeCell ref="O188:O191"/>
    <mergeCell ref="O192:O195"/>
    <mergeCell ref="O196:O199"/>
    <mergeCell ref="L180:L183"/>
    <mergeCell ref="L184:L187"/>
    <mergeCell ref="L188:L191"/>
    <mergeCell ref="L192:L195"/>
    <mergeCell ref="L196:L199"/>
    <mergeCell ref="L236:L239"/>
    <mergeCell ref="L240:L243"/>
    <mergeCell ref="L244:L247"/>
    <mergeCell ref="L248:L251"/>
    <mergeCell ref="L252:L255"/>
    <mergeCell ref="L256:L259"/>
    <mergeCell ref="L260:L263"/>
    <mergeCell ref="L264:L267"/>
    <mergeCell ref="L268:L271"/>
    <mergeCell ref="L200:L203"/>
    <mergeCell ref="L204:L207"/>
    <mergeCell ref="L208:L211"/>
    <mergeCell ref="L212:L215"/>
    <mergeCell ref="L216:L219"/>
    <mergeCell ref="L220:L223"/>
    <mergeCell ref="L224:L227"/>
    <mergeCell ref="L228:L231"/>
    <mergeCell ref="L232:L235"/>
    <mergeCell ref="L292:L295"/>
    <mergeCell ref="L296:L2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O256:O259"/>
    <mergeCell ref="O260:O263"/>
    <mergeCell ref="O264:O267"/>
    <mergeCell ref="O268:O271"/>
    <mergeCell ref="O272:O275"/>
    <mergeCell ref="O276:O279"/>
    <mergeCell ref="O280:O283"/>
    <mergeCell ref="O284:O287"/>
    <mergeCell ref="O288:O291"/>
    <mergeCell ref="O292:O295"/>
    <mergeCell ref="O296:O299"/>
    <mergeCell ref="P103:Q103"/>
    <mergeCell ref="O301:P301"/>
    <mergeCell ref="N302:N305"/>
    <mergeCell ref="N306:N309"/>
    <mergeCell ref="N310:N313"/>
    <mergeCell ref="N314:N317"/>
    <mergeCell ref="O104:O107"/>
    <mergeCell ref="O108:O111"/>
    <mergeCell ref="O112:O115"/>
    <mergeCell ref="O116:O119"/>
    <mergeCell ref="O120:O123"/>
    <mergeCell ref="O124:O127"/>
    <mergeCell ref="O128:O131"/>
    <mergeCell ref="O132:O135"/>
    <mergeCell ref="O136:O139"/>
    <mergeCell ref="O140:O143"/>
    <mergeCell ref="O144:O147"/>
    <mergeCell ref="O148:O151"/>
    <mergeCell ref="O152:O155"/>
    <mergeCell ref="O156:O159"/>
    <mergeCell ref="O160:O163"/>
    <mergeCell ref="J384:J387"/>
    <mergeCell ref="N354:N357"/>
    <mergeCell ref="J388:J391"/>
    <mergeCell ref="M360:M363"/>
    <mergeCell ref="M364:M367"/>
    <mergeCell ref="M368:M371"/>
    <mergeCell ref="M372:M375"/>
    <mergeCell ref="M376:M379"/>
    <mergeCell ref="M380:M383"/>
    <mergeCell ref="M384:M387"/>
    <mergeCell ref="M388:M391"/>
    <mergeCell ref="N359:O359"/>
    <mergeCell ref="J360:J363"/>
    <mergeCell ref="J364:J367"/>
    <mergeCell ref="J368:J371"/>
    <mergeCell ref="J372:J375"/>
    <mergeCell ref="J376:J379"/>
    <mergeCell ref="K342:K345"/>
    <mergeCell ref="K346:K349"/>
    <mergeCell ref="K350:K353"/>
    <mergeCell ref="K354:K357"/>
    <mergeCell ref="N338:N341"/>
    <mergeCell ref="N342:N345"/>
    <mergeCell ref="N346:N349"/>
    <mergeCell ref="N350:N353"/>
    <mergeCell ref="J380:J383"/>
    <mergeCell ref="X73:X76"/>
    <mergeCell ref="X77:X80"/>
    <mergeCell ref="X81:X84"/>
    <mergeCell ref="X85:X88"/>
    <mergeCell ref="X89:X92"/>
    <mergeCell ref="X93:X96"/>
    <mergeCell ref="X318:X321"/>
    <mergeCell ref="X322:X325"/>
    <mergeCell ref="X326:X329"/>
    <mergeCell ref="X330:X333"/>
    <mergeCell ref="X334:X337"/>
    <mergeCell ref="X338:X341"/>
    <mergeCell ref="X314:X317"/>
    <mergeCell ref="K302:K305"/>
    <mergeCell ref="K306:K309"/>
    <mergeCell ref="K310:K313"/>
    <mergeCell ref="K314:K317"/>
    <mergeCell ref="K318:K321"/>
    <mergeCell ref="K322:K325"/>
    <mergeCell ref="K326:K329"/>
    <mergeCell ref="K330:K333"/>
    <mergeCell ref="K334:K337"/>
    <mergeCell ref="N318:N321"/>
    <mergeCell ref="N322:N325"/>
    <mergeCell ref="N326:N329"/>
    <mergeCell ref="N330:N333"/>
    <mergeCell ref="N334:N337"/>
    <mergeCell ref="K338:K341"/>
    <mergeCell ref="Y4:Z4"/>
    <mergeCell ref="AB103:AC103"/>
    <mergeCell ref="Y104:Y107"/>
    <mergeCell ref="Y108:Y111"/>
    <mergeCell ref="Y112:Y115"/>
    <mergeCell ref="Y116:Y119"/>
    <mergeCell ref="Y120:Y123"/>
    <mergeCell ref="Y124:Y127"/>
    <mergeCell ref="Y128:Y131"/>
    <mergeCell ref="AB105:AB106"/>
    <mergeCell ref="AC105:AC106"/>
    <mergeCell ref="AB109:AB110"/>
    <mergeCell ref="AC109:AC110"/>
    <mergeCell ref="AB113:AB114"/>
    <mergeCell ref="AC113:AC114"/>
    <mergeCell ref="AB117:AB118"/>
    <mergeCell ref="AC117:AC118"/>
    <mergeCell ref="AB121:AB122"/>
    <mergeCell ref="AC121:AC122"/>
    <mergeCell ref="AA14:AA15"/>
    <mergeCell ref="AA18:AA19"/>
    <mergeCell ref="AA22:AA23"/>
    <mergeCell ref="AA26:AA27"/>
    <mergeCell ref="AA30:AA31"/>
    <mergeCell ref="Y196:Y199"/>
    <mergeCell ref="Y200:Y203"/>
    <mergeCell ref="Y132:Y135"/>
    <mergeCell ref="Y136:Y139"/>
    <mergeCell ref="Y140:Y143"/>
    <mergeCell ref="Y144:Y147"/>
    <mergeCell ref="Y148:Y151"/>
    <mergeCell ref="Y152:Y155"/>
    <mergeCell ref="Y156:Y159"/>
    <mergeCell ref="Y160:Y163"/>
    <mergeCell ref="Y164:Y167"/>
    <mergeCell ref="AC297:AC298"/>
    <mergeCell ref="Z103:AA103"/>
    <mergeCell ref="X302:X305"/>
    <mergeCell ref="Y240:Y243"/>
    <mergeCell ref="Y244:Y247"/>
    <mergeCell ref="Y248:Y251"/>
    <mergeCell ref="Y252:Y255"/>
    <mergeCell ref="Y256:Y259"/>
    <mergeCell ref="Y260:Y263"/>
    <mergeCell ref="Y264:Y267"/>
    <mergeCell ref="Y268:Y271"/>
    <mergeCell ref="Y272:Y275"/>
    <mergeCell ref="Y204:Y207"/>
    <mergeCell ref="Y208:Y211"/>
    <mergeCell ref="Y212:Y215"/>
    <mergeCell ref="Y216:Y219"/>
    <mergeCell ref="Y220:Y223"/>
    <mergeCell ref="Y224:Y227"/>
    <mergeCell ref="Y228:Y231"/>
    <mergeCell ref="Y232:Y235"/>
    <mergeCell ref="Y236:Y239"/>
    <mergeCell ref="Y168:Y171"/>
    <mergeCell ref="Y172:Y175"/>
    <mergeCell ref="Y176:Y179"/>
    <mergeCell ref="Y276:Y279"/>
    <mergeCell ref="Y280:Y283"/>
    <mergeCell ref="Y284:Y287"/>
    <mergeCell ref="Y288:Y291"/>
    <mergeCell ref="Y292:Y295"/>
    <mergeCell ref="Y296:Y299"/>
    <mergeCell ref="Y301:Z301"/>
    <mergeCell ref="X306:X309"/>
    <mergeCell ref="X310:X313"/>
    <mergeCell ref="W364:W367"/>
    <mergeCell ref="W368:W371"/>
    <mergeCell ref="W372:W375"/>
    <mergeCell ref="W376:W379"/>
    <mergeCell ref="W380:W383"/>
    <mergeCell ref="W384:W387"/>
    <mergeCell ref="W388:W391"/>
    <mergeCell ref="X359:Y359"/>
    <mergeCell ref="X342:X345"/>
    <mergeCell ref="X346:X349"/>
    <mergeCell ref="X350:X353"/>
    <mergeCell ref="X354:X357"/>
    <mergeCell ref="W360:W363"/>
    <mergeCell ref="AA301:AB301"/>
    <mergeCell ref="AA303:AA304"/>
    <mergeCell ref="AB303:AB304"/>
    <mergeCell ref="AA307:AA308"/>
    <mergeCell ref="AB307:AB308"/>
    <mergeCell ref="AA311:AA312"/>
    <mergeCell ref="AB311:AB312"/>
    <mergeCell ref="AA315:AA316"/>
    <mergeCell ref="AB315:AB316"/>
    <mergeCell ref="Z389:Z390"/>
    <mergeCell ref="AA389:AA390"/>
    <mergeCell ref="Z359:AA359"/>
    <mergeCell ref="Z361:Z362"/>
    <mergeCell ref="AA361:AA362"/>
    <mergeCell ref="Z365:Z366"/>
    <mergeCell ref="AA365:AA366"/>
    <mergeCell ref="Z369:Z370"/>
    <mergeCell ref="AA369:AA370"/>
    <mergeCell ref="Z373:Z374"/>
    <mergeCell ref="AA373:AA374"/>
    <mergeCell ref="Z385:Z386"/>
    <mergeCell ref="AA385:AA386"/>
    <mergeCell ref="Z377:Z378"/>
    <mergeCell ref="AA377:AA378"/>
    <mergeCell ref="Z381:Z382"/>
    <mergeCell ref="AA381:AA382"/>
    <mergeCell ref="AB339:AB340"/>
    <mergeCell ref="AA343:AA344"/>
    <mergeCell ref="AB343:AB344"/>
    <mergeCell ref="AA347:AA348"/>
    <mergeCell ref="AB347:AB348"/>
    <mergeCell ref="AA351:AA352"/>
    <mergeCell ref="AB351:AB352"/>
    <mergeCell ref="AA355:AA356"/>
    <mergeCell ref="AB355:AB356"/>
    <mergeCell ref="AA339:AA340"/>
    <mergeCell ref="AA319:AA320"/>
    <mergeCell ref="AB319:AB320"/>
    <mergeCell ref="AA323:AA324"/>
    <mergeCell ref="AB323:AB324"/>
    <mergeCell ref="AA327:AA328"/>
    <mergeCell ref="AB327:AB328"/>
    <mergeCell ref="AA331:AA332"/>
    <mergeCell ref="AB331:AB332"/>
    <mergeCell ref="AA335:AA336"/>
    <mergeCell ref="AB335:AB336"/>
  </mergeCells>
  <phoneticPr fontId="19"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61F3-7A34-4063-A348-A77918374B58}">
  <sheetPr codeName="Tabelle11">
    <tabColor theme="3" tint="0.89999084444715716"/>
  </sheetPr>
  <dimension ref="A1:K31"/>
  <sheetViews>
    <sheetView zoomScale="90" zoomScaleNormal="90" zoomScaleSheetLayoutView="110" workbookViewId="0">
      <selection activeCell="G27" sqref="G27"/>
    </sheetView>
  </sheetViews>
  <sheetFormatPr baseColWidth="10" defaultColWidth="11.140625" defaultRowHeight="12"/>
  <cols>
    <col min="1" max="8" width="19.5703125" customWidth="1"/>
    <col min="9" max="9" width="11.5703125" customWidth="1"/>
    <col min="10" max="10" width="12.5703125" bestFit="1" customWidth="1"/>
    <col min="11" max="11" width="11.140625" bestFit="1" customWidth="1"/>
    <col min="12" max="12" width="12.5703125" bestFit="1" customWidth="1"/>
    <col min="13" max="13" width="14.5703125" bestFit="1" customWidth="1"/>
    <col min="14" max="14" width="12.5703125" bestFit="1" customWidth="1"/>
    <col min="15" max="15" width="11.140625" bestFit="1" customWidth="1"/>
    <col min="16" max="16" width="12.5703125" bestFit="1" customWidth="1"/>
    <col min="18" max="18" width="12.5703125" bestFit="1" customWidth="1"/>
    <col min="23" max="23" width="10.140625" customWidth="1"/>
    <col min="24" max="24" width="12.5703125" bestFit="1" customWidth="1"/>
  </cols>
  <sheetData>
    <row r="1" spans="1:11" ht="12.75" thickBot="1">
      <c r="A1" s="15" t="s">
        <v>1581</v>
      </c>
    </row>
    <row r="2" spans="1:11" ht="12.75" thickBot="1">
      <c r="A2" s="20" t="s">
        <v>321</v>
      </c>
      <c r="B2" s="20" t="s">
        <v>322</v>
      </c>
      <c r="C2" s="20" t="s">
        <v>1582</v>
      </c>
      <c r="D2" s="73"/>
      <c r="E2" s="20" t="s">
        <v>1583</v>
      </c>
      <c r="F2" s="73"/>
      <c r="G2" s="20" t="s">
        <v>323</v>
      </c>
      <c r="H2" s="21"/>
    </row>
    <row r="3" spans="1:11">
      <c r="A3" s="76" t="s">
        <v>324</v>
      </c>
      <c r="B3" s="110" t="s">
        <v>325</v>
      </c>
      <c r="C3" s="109" t="s">
        <v>326</v>
      </c>
      <c r="D3" s="76" t="s">
        <v>327</v>
      </c>
      <c r="E3" s="110" t="s">
        <v>328</v>
      </c>
      <c r="F3" s="109" t="s">
        <v>329</v>
      </c>
      <c r="G3" s="110" t="s">
        <v>330</v>
      </c>
      <c r="H3" s="110" t="s">
        <v>331</v>
      </c>
    </row>
    <row r="4" spans="1:11">
      <c r="A4" s="74">
        <v>0.31744158395133371</v>
      </c>
      <c r="B4" s="106">
        <v>0.42674056907220631</v>
      </c>
      <c r="C4" s="125">
        <v>0.28000000000000003</v>
      </c>
      <c r="D4" s="125">
        <v>0.28000000000000003</v>
      </c>
      <c r="E4" s="126">
        <v>0.3580497314339619</v>
      </c>
      <c r="F4" s="125">
        <v>0.33451914122730958</v>
      </c>
      <c r="G4" s="126">
        <v>0.3292608369914955</v>
      </c>
      <c r="H4" s="126">
        <v>0.25879546514324886</v>
      </c>
    </row>
    <row r="5" spans="1:11">
      <c r="A5" s="75">
        <v>0.40506133621031354</v>
      </c>
      <c r="B5" s="107">
        <v>0.47609130829862606</v>
      </c>
      <c r="C5" s="67">
        <v>0.41166987164002466</v>
      </c>
      <c r="D5" s="74">
        <v>0.45885732728255718</v>
      </c>
      <c r="E5" s="106">
        <v>0.71350135626247835</v>
      </c>
      <c r="F5" s="67">
        <v>0.38225189417616451</v>
      </c>
      <c r="G5" s="111">
        <v>0.66235122466715446</v>
      </c>
      <c r="H5" s="126">
        <v>0.3387721959462901</v>
      </c>
      <c r="J5" s="72" t="s">
        <v>332</v>
      </c>
    </row>
    <row r="6" spans="1:11">
      <c r="A6" s="74">
        <v>0.5241847786996584</v>
      </c>
      <c r="B6" s="106">
        <v>0.49327394821651088</v>
      </c>
      <c r="C6" s="67">
        <v>0.45560301999686525</v>
      </c>
      <c r="D6" s="74">
        <v>0.50767193656793563</v>
      </c>
      <c r="E6" s="106">
        <v>0.71350135626247835</v>
      </c>
      <c r="F6" s="67">
        <v>0.38225189417616451</v>
      </c>
      <c r="G6" s="106">
        <v>1.4772738954610205</v>
      </c>
      <c r="H6" s="106">
        <v>0.43539846491360296</v>
      </c>
      <c r="J6" s="22" t="s">
        <v>333</v>
      </c>
    </row>
    <row r="7" spans="1:11">
      <c r="A7" s="74">
        <v>0.5590712004266758</v>
      </c>
      <c r="B7" s="106">
        <v>0.53438125101130185</v>
      </c>
      <c r="C7" s="67">
        <v>0.48814609285378424</v>
      </c>
      <c r="D7" s="74">
        <v>0.54346931671054644</v>
      </c>
      <c r="E7" s="106">
        <v>0.76086371289166055</v>
      </c>
      <c r="F7" s="67">
        <v>0.40762584809404889</v>
      </c>
      <c r="G7" s="106">
        <v>2.3535688501816123</v>
      </c>
      <c r="H7" s="106">
        <v>0.75770686229611095</v>
      </c>
      <c r="J7" s="372" t="s">
        <v>1587</v>
      </c>
      <c r="K7" s="371"/>
    </row>
    <row r="8" spans="1:11">
      <c r="A8" s="74">
        <v>0.66659992639256305</v>
      </c>
      <c r="B8" s="107">
        <v>0.60480376189923679</v>
      </c>
      <c r="C8" s="67">
        <v>0.56624946771038964</v>
      </c>
      <c r="D8" s="74">
        <v>0.62970845978138168</v>
      </c>
      <c r="E8" s="106">
        <v>0.76086371289166055</v>
      </c>
      <c r="F8" s="67">
        <v>0.40762584809404889</v>
      </c>
      <c r="G8" s="97"/>
      <c r="H8" s="97"/>
    </row>
    <row r="9" spans="1:11" ht="13.5">
      <c r="A9" s="75">
        <v>0.69878147685182834</v>
      </c>
      <c r="B9" s="106">
        <v>0.66536469863931291</v>
      </c>
      <c r="C9" s="67">
        <v>0.61669123063861409</v>
      </c>
      <c r="D9" s="74">
        <v>0.68665883728098986</v>
      </c>
      <c r="E9" s="106">
        <v>0.76086371289166055</v>
      </c>
      <c r="F9" s="67">
        <v>0.40762584809404889</v>
      </c>
      <c r="G9" s="19" t="s">
        <v>334</v>
      </c>
      <c r="H9" s="108" t="s">
        <v>335</v>
      </c>
    </row>
    <row r="10" spans="1:11">
      <c r="A10" s="75">
        <v>0.85618567207899676</v>
      </c>
      <c r="B10" s="106">
        <v>0.81037572520619516</v>
      </c>
      <c r="C10" s="67">
        <v>0.6703873008525304</v>
      </c>
      <c r="D10" s="74">
        <v>0.69804891278091141</v>
      </c>
      <c r="E10" s="106">
        <v>0.80641093863883972</v>
      </c>
      <c r="F10" s="67">
        <v>0.43202736206948023</v>
      </c>
      <c r="G10" s="99">
        <f>_xlfn.QUARTILE.EXC(G4:G7,3)</f>
        <v>2.1344951115014643</v>
      </c>
      <c r="H10" s="99">
        <f>_xlfn.QUARTILE.EXC(H4:H7,3)</f>
        <v>0.67712976295048399</v>
      </c>
    </row>
    <row r="11" spans="1:11">
      <c r="A11" s="74">
        <v>0.89179914283692197</v>
      </c>
      <c r="B11" s="106">
        <v>0.91991803924611937</v>
      </c>
      <c r="C11" s="67">
        <v>0.68177737635245206</v>
      </c>
      <c r="D11" s="74">
        <v>0.74686352206628981</v>
      </c>
      <c r="E11" s="112"/>
      <c r="F11" s="113"/>
      <c r="G11" s="108"/>
      <c r="H11" s="108"/>
    </row>
    <row r="12" spans="1:11" ht="13.5">
      <c r="A12" s="74">
        <v>1.1879169856528498</v>
      </c>
      <c r="B12" s="106">
        <v>1.0070700601490075</v>
      </c>
      <c r="C12" s="67">
        <v>0.72896483199498452</v>
      </c>
      <c r="D12" s="74">
        <v>0.75988075120905751</v>
      </c>
      <c r="E12" s="19" t="s">
        <v>336</v>
      </c>
      <c r="F12" s="19" t="s">
        <v>337</v>
      </c>
      <c r="G12" s="108"/>
      <c r="H12" s="108"/>
    </row>
    <row r="13" spans="1:11">
      <c r="A13" s="74">
        <v>1.214348703118235</v>
      </c>
      <c r="B13" s="107">
        <v>1.0234366287281598</v>
      </c>
      <c r="C13" s="67">
        <v>0.84611989427989276</v>
      </c>
      <c r="D13" s="74">
        <v>0.81194966778012789</v>
      </c>
      <c r="E13" s="99">
        <f>_xlfn.QUARTILE.EXC(E4:E10,3)</f>
        <v>0.76086371289166055</v>
      </c>
      <c r="F13" s="103">
        <f>_xlfn.QUARTILE.EXC(F4:F10,3)</f>
        <v>0.40762584809404889</v>
      </c>
      <c r="G13" s="108"/>
      <c r="H13" s="108"/>
    </row>
    <row r="14" spans="1:11">
      <c r="A14" s="75">
        <v>1.4653768962291391</v>
      </c>
      <c r="B14" s="106">
        <v>1.2391137382086737</v>
      </c>
      <c r="C14" s="67">
        <v>0.84611989427989276</v>
      </c>
      <c r="D14" s="74">
        <v>0.94212195920780351</v>
      </c>
      <c r="E14" s="112"/>
      <c r="F14" s="113"/>
      <c r="G14" s="108"/>
      <c r="H14" s="108"/>
    </row>
    <row r="15" spans="1:11">
      <c r="A15" s="74">
        <v>2.1578675519198556</v>
      </c>
      <c r="B15" s="107">
        <v>1.2985134741811661</v>
      </c>
      <c r="C15" s="67">
        <v>0.9372404982792657</v>
      </c>
      <c r="D15" s="74">
        <v>1.0430054850642525</v>
      </c>
      <c r="E15" s="112"/>
      <c r="F15" s="113"/>
      <c r="G15" s="108"/>
      <c r="H15" s="108"/>
    </row>
    <row r="16" spans="1:11">
      <c r="A16" s="16"/>
      <c r="B16" s="98"/>
      <c r="C16" s="67">
        <v>1.0023266439931036</v>
      </c>
      <c r="D16" s="74">
        <v>1.1162273989923202</v>
      </c>
      <c r="E16" s="112"/>
      <c r="F16" s="113"/>
      <c r="G16" s="108"/>
      <c r="H16" s="108"/>
    </row>
    <row r="17" spans="1:8" ht="13.5">
      <c r="A17" s="19" t="s">
        <v>338</v>
      </c>
      <c r="B17" s="19" t="s">
        <v>339</v>
      </c>
      <c r="C17" s="67">
        <v>1.0430054850642525</v>
      </c>
      <c r="D17" s="74">
        <v>1.1617877009920063</v>
      </c>
      <c r="E17" s="112"/>
      <c r="F17" s="113"/>
      <c r="G17" s="108"/>
      <c r="H17" s="108"/>
    </row>
    <row r="18" spans="1:8">
      <c r="A18" s="77">
        <f>_xlfn.QUARTILE.EXC(A4:A15,3)</f>
        <v>1.2077407737518886</v>
      </c>
      <c r="B18" s="99">
        <f>_xlfn.QUARTILE.EXC(B4:B15,3)</f>
        <v>1.0193449865833717</v>
      </c>
      <c r="C18" s="67">
        <v>1.1552790864206226</v>
      </c>
      <c r="D18" s="74">
        <v>1.2870785314911444</v>
      </c>
      <c r="E18" s="112"/>
      <c r="F18" s="113"/>
      <c r="G18" s="108"/>
      <c r="H18" s="108"/>
    </row>
    <row r="19" spans="1:8">
      <c r="A19" s="19"/>
      <c r="B19" s="108"/>
      <c r="C19" s="67">
        <v>1.23663676856292</v>
      </c>
      <c r="D19" s="74">
        <v>1.3765719818476716</v>
      </c>
      <c r="E19" s="108"/>
      <c r="F19" s="12"/>
      <c r="G19" s="108"/>
      <c r="H19" s="108"/>
    </row>
    <row r="20" spans="1:8">
      <c r="A20" s="19"/>
      <c r="B20" s="108"/>
      <c r="C20" s="67">
        <v>1.4335223593472797</v>
      </c>
      <c r="D20" s="74">
        <v>1.5978648772747204</v>
      </c>
      <c r="E20" s="108"/>
      <c r="F20" s="12"/>
      <c r="G20" s="108"/>
      <c r="H20" s="108"/>
    </row>
    <row r="21" spans="1:8">
      <c r="A21" s="19"/>
      <c r="B21" s="108"/>
      <c r="C21" s="67">
        <v>1.5604403434892635</v>
      </c>
      <c r="D21" s="74">
        <v>1.7410543978451636</v>
      </c>
      <c r="E21" s="108"/>
      <c r="F21" s="12"/>
      <c r="G21" s="108"/>
      <c r="H21" s="108"/>
    </row>
    <row r="22" spans="1:8">
      <c r="A22" s="19"/>
      <c r="B22" s="108"/>
      <c r="C22" s="67">
        <v>1.5881019554176445</v>
      </c>
      <c r="D22" s="74">
        <v>1.7735974707020827</v>
      </c>
      <c r="E22" s="108"/>
      <c r="F22" s="12"/>
      <c r="G22" s="108"/>
      <c r="H22" s="108"/>
    </row>
    <row r="23" spans="1:8">
      <c r="A23" s="19"/>
      <c r="B23" s="108"/>
      <c r="C23" s="67">
        <v>1.6922397885597855</v>
      </c>
      <c r="D23" s="74">
        <v>1.8874982257012989</v>
      </c>
      <c r="E23" s="108"/>
      <c r="F23" s="12"/>
      <c r="G23" s="108"/>
      <c r="H23" s="108"/>
    </row>
    <row r="24" spans="1:8">
      <c r="A24" s="19"/>
      <c r="B24" s="108"/>
      <c r="C24" s="67">
        <v>1.7247828614167044</v>
      </c>
      <c r="D24" s="74">
        <v>1.920041298558218</v>
      </c>
      <c r="E24" s="108"/>
      <c r="F24" s="12"/>
      <c r="G24" s="108"/>
      <c r="H24" s="108"/>
    </row>
    <row r="25" spans="1:8">
      <c r="A25" s="19"/>
      <c r="B25" s="108"/>
      <c r="C25" s="67">
        <v>1.85495515284438</v>
      </c>
      <c r="D25" s="74">
        <v>2.0664851264143533</v>
      </c>
      <c r="E25" s="108"/>
      <c r="F25" s="12"/>
      <c r="G25" s="108"/>
      <c r="H25" s="108"/>
    </row>
    <row r="26" spans="1:8">
      <c r="A26" s="19"/>
      <c r="B26" s="108"/>
      <c r="C26" s="67">
        <v>2.1478428085566503</v>
      </c>
      <c r="D26" s="74">
        <v>2.3919158549835426</v>
      </c>
      <c r="E26" s="108"/>
      <c r="F26" s="12"/>
      <c r="G26" s="108"/>
      <c r="H26" s="108"/>
    </row>
    <row r="27" spans="1:8">
      <c r="A27" s="19"/>
      <c r="B27" s="108"/>
      <c r="C27" s="67">
        <v>2.3756443185550831</v>
      </c>
      <c r="D27" s="74">
        <v>2.6522604378388941</v>
      </c>
      <c r="E27" s="108"/>
      <c r="F27" s="12"/>
      <c r="G27" s="108"/>
      <c r="H27" s="108"/>
    </row>
    <row r="28" spans="1:8">
      <c r="A28" s="16"/>
      <c r="B28" s="98"/>
      <c r="C28" s="67">
        <v>2.5383596828396784</v>
      </c>
      <c r="D28" s="74">
        <v>2.8312473385519485</v>
      </c>
      <c r="E28" s="108"/>
      <c r="F28" s="12"/>
      <c r="G28" s="108"/>
      <c r="H28" s="108"/>
    </row>
    <row r="29" spans="1:8">
      <c r="A29" s="16"/>
      <c r="B29" s="98"/>
      <c r="C29" s="94"/>
      <c r="D29" s="70"/>
      <c r="E29" s="98"/>
      <c r="G29" s="98"/>
      <c r="H29" s="98"/>
    </row>
    <row r="30" spans="1:8" ht="13.5">
      <c r="A30" s="19"/>
      <c r="B30" s="98"/>
      <c r="C30" s="19" t="s">
        <v>340</v>
      </c>
      <c r="D30" s="19" t="s">
        <v>341</v>
      </c>
      <c r="E30" s="98"/>
      <c r="G30" s="98"/>
      <c r="H30" s="98"/>
    </row>
    <row r="31" spans="1:8" ht="12.75" thickBot="1">
      <c r="A31" s="100"/>
      <c r="B31" s="102"/>
      <c r="C31" s="101">
        <f>_xlfn.QUARTILE.EXC(C4:C28,3)</f>
        <v>1.6401708719887149</v>
      </c>
      <c r="D31" s="105">
        <f>_xlfn.QUARTILE.EXC(D4:D28,3)</f>
        <v>1.8305478482016908</v>
      </c>
      <c r="E31" s="102"/>
      <c r="F31" s="71"/>
      <c r="G31" s="102"/>
      <c r="H31" s="102"/>
    </row>
  </sheetData>
  <sortState xmlns:xlrd2="http://schemas.microsoft.com/office/spreadsheetml/2017/richdata2" ref="H4:H7">
    <sortCondition ref="H4:H7"/>
  </sortState>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DDA3-E72C-4F9A-B10E-982671D0F159}">
  <sheetPr codeName="Tabelle5">
    <tabColor theme="3" tint="0.89999084444715716"/>
  </sheetPr>
  <dimension ref="A1:J30"/>
  <sheetViews>
    <sheetView zoomScale="120" zoomScaleNormal="120" zoomScaleSheetLayoutView="130" workbookViewId="0">
      <selection activeCell="F22" sqref="F22"/>
    </sheetView>
  </sheetViews>
  <sheetFormatPr baseColWidth="10" defaultColWidth="11.140625" defaultRowHeight="12"/>
  <cols>
    <col min="1" max="8" width="19.5703125" customWidth="1"/>
    <col min="9" max="9" width="12.5703125" bestFit="1" customWidth="1"/>
    <col min="11" max="11" width="21.140625" bestFit="1" customWidth="1"/>
  </cols>
  <sheetData>
    <row r="1" spans="1:10" ht="12.75" thickBot="1">
      <c r="A1" s="15" t="s">
        <v>1584</v>
      </c>
    </row>
    <row r="2" spans="1:10" ht="12.75" thickBot="1">
      <c r="A2" s="20" t="s">
        <v>342</v>
      </c>
      <c r="B2" s="20" t="s">
        <v>343</v>
      </c>
      <c r="C2" s="530" t="s">
        <v>1582</v>
      </c>
      <c r="D2" s="531"/>
      <c r="E2" s="530" t="s">
        <v>1585</v>
      </c>
      <c r="F2" s="531"/>
      <c r="G2" s="530" t="s">
        <v>344</v>
      </c>
      <c r="H2" s="532"/>
    </row>
    <row r="3" spans="1:10">
      <c r="A3" s="110" t="s">
        <v>345</v>
      </c>
      <c r="B3" s="12" t="s">
        <v>346</v>
      </c>
      <c r="C3" s="110" t="s">
        <v>347</v>
      </c>
      <c r="D3" s="12" t="s">
        <v>348</v>
      </c>
      <c r="E3" s="110" t="s">
        <v>349</v>
      </c>
      <c r="F3" s="12" t="s">
        <v>350</v>
      </c>
      <c r="G3" s="110" t="s">
        <v>351</v>
      </c>
      <c r="H3" s="114" t="s">
        <v>352</v>
      </c>
    </row>
    <row r="4" spans="1:10">
      <c r="A4" s="108">
        <v>2.8</v>
      </c>
      <c r="B4" s="14">
        <v>1.6</v>
      </c>
      <c r="C4" s="117">
        <v>4.3</v>
      </c>
      <c r="D4" s="14">
        <v>3.4</v>
      </c>
      <c r="E4" s="117">
        <v>4.3</v>
      </c>
      <c r="F4" s="115">
        <v>4.3</v>
      </c>
      <c r="G4" s="97">
        <v>1.2</v>
      </c>
      <c r="H4" s="18">
        <v>1.8</v>
      </c>
    </row>
    <row r="5" spans="1:10">
      <c r="A5" s="108">
        <v>3.8</v>
      </c>
      <c r="B5" s="14">
        <v>2.2000000000000002</v>
      </c>
      <c r="C5" s="97">
        <v>5.0999999999999996</v>
      </c>
      <c r="D5" s="14">
        <v>3.4</v>
      </c>
      <c r="E5" s="97">
        <v>6</v>
      </c>
      <c r="F5" s="14">
        <v>6.9</v>
      </c>
      <c r="G5" s="97">
        <v>1.4</v>
      </c>
      <c r="H5" s="18">
        <v>6.1</v>
      </c>
    </row>
    <row r="6" spans="1:10">
      <c r="A6" s="108">
        <v>4.5</v>
      </c>
      <c r="B6" s="14">
        <v>4</v>
      </c>
      <c r="C6" s="97">
        <v>5.0999999999999996</v>
      </c>
      <c r="D6" s="14">
        <v>3.8</v>
      </c>
      <c r="E6" s="97">
        <v>6.7</v>
      </c>
      <c r="F6" s="14">
        <v>8.5</v>
      </c>
      <c r="G6" s="117">
        <v>1.8</v>
      </c>
      <c r="H6" s="124">
        <v>6.7</v>
      </c>
      <c r="J6" s="22" t="s">
        <v>353</v>
      </c>
    </row>
    <row r="7" spans="1:10">
      <c r="A7" s="108">
        <v>5</v>
      </c>
      <c r="B7" s="14">
        <v>4.4000000000000004</v>
      </c>
      <c r="C7" s="97">
        <v>5.0999999999999996</v>
      </c>
      <c r="D7" s="14">
        <v>3.8</v>
      </c>
      <c r="E7" s="97">
        <v>6.7</v>
      </c>
      <c r="F7" s="14">
        <v>8.6999999999999993</v>
      </c>
      <c r="G7" s="116">
        <v>1.9</v>
      </c>
      <c r="H7" s="124">
        <v>11.3</v>
      </c>
      <c r="J7" s="372" t="s">
        <v>1587</v>
      </c>
    </row>
    <row r="8" spans="1:10">
      <c r="A8" s="108">
        <v>5.2</v>
      </c>
      <c r="B8" s="14">
        <v>5.4</v>
      </c>
      <c r="C8" s="97">
        <v>5.0999999999999996</v>
      </c>
      <c r="D8" s="14">
        <v>3.9</v>
      </c>
      <c r="E8" s="97">
        <v>7</v>
      </c>
      <c r="F8" s="14">
        <v>9.6999999999999993</v>
      </c>
      <c r="G8" s="97"/>
      <c r="H8" s="18"/>
    </row>
    <row r="9" spans="1:10" ht="13.5">
      <c r="A9" s="108">
        <v>5.7</v>
      </c>
      <c r="B9" s="14">
        <v>6.3</v>
      </c>
      <c r="C9" s="97">
        <v>5.5</v>
      </c>
      <c r="D9" s="14">
        <v>3.9</v>
      </c>
      <c r="E9" s="98"/>
      <c r="G9" s="108" t="s">
        <v>354</v>
      </c>
      <c r="H9" s="114" t="s">
        <v>355</v>
      </c>
    </row>
    <row r="10" spans="1:10" ht="13.5">
      <c r="A10" s="98"/>
      <c r="C10" s="97">
        <v>5.5</v>
      </c>
      <c r="D10" s="115">
        <v>4.3</v>
      </c>
      <c r="E10" s="108" t="s">
        <v>356</v>
      </c>
      <c r="F10" s="12" t="s">
        <v>357</v>
      </c>
      <c r="G10" s="205">
        <f>_xlfn.QUARTILE.EXC(G4:G7,3)/100</f>
        <v>1.8749999999999999E-2</v>
      </c>
      <c r="H10" s="205">
        <f>_xlfn.QUARTILE.EXC(H4:H7,3)/100</f>
        <v>0.10150000000000001</v>
      </c>
    </row>
    <row r="11" spans="1:10" ht="13.5">
      <c r="A11" s="108" t="s">
        <v>358</v>
      </c>
      <c r="B11" s="12" t="s">
        <v>359</v>
      </c>
      <c r="C11" s="97">
        <v>6.1</v>
      </c>
      <c r="D11" s="14">
        <v>4.4000000000000004</v>
      </c>
      <c r="E11" s="205">
        <f>_xlfn.QUARTILE.EXC(E4:E8,3)/100</f>
        <v>6.8499999999999991E-2</v>
      </c>
      <c r="F11" s="205">
        <f>_xlfn.QUARTILE.EXC(F4:F8,3)/100</f>
        <v>9.1999999999999998E-2</v>
      </c>
      <c r="G11" s="98"/>
      <c r="H11" s="17"/>
    </row>
    <row r="12" spans="1:10">
      <c r="A12" s="205">
        <f>_xlfn.QUARTILE.EXC(A4:A9,3)/100</f>
        <v>5.3249999999999999E-2</v>
      </c>
      <c r="B12" s="205">
        <f>_xlfn.QUARTILE.EXC(B4:B9,3)/100</f>
        <v>5.6250000000000001E-2</v>
      </c>
      <c r="C12" s="97">
        <v>6.1</v>
      </c>
      <c r="D12" s="14">
        <v>4.4000000000000004</v>
      </c>
      <c r="E12" s="98"/>
      <c r="G12" s="98"/>
      <c r="H12" s="17"/>
    </row>
    <row r="13" spans="1:10">
      <c r="A13" s="98"/>
      <c r="C13" s="97">
        <v>6.3</v>
      </c>
      <c r="D13" s="14">
        <v>5.4</v>
      </c>
      <c r="E13" s="98"/>
      <c r="G13" s="98"/>
      <c r="H13" s="17"/>
    </row>
    <row r="14" spans="1:10">
      <c r="A14" s="98"/>
      <c r="C14" s="97">
        <v>6.3</v>
      </c>
      <c r="D14" s="14">
        <v>5.4</v>
      </c>
      <c r="E14" s="98"/>
      <c r="G14" s="98"/>
      <c r="H14" s="17"/>
    </row>
    <row r="15" spans="1:10">
      <c r="A15" s="98"/>
      <c r="C15" s="97">
        <v>6.6</v>
      </c>
      <c r="D15" s="14">
        <v>6.1</v>
      </c>
      <c r="E15" s="98"/>
      <c r="G15" s="98"/>
      <c r="H15" s="17"/>
    </row>
    <row r="16" spans="1:10">
      <c r="A16" s="98"/>
      <c r="C16" s="97">
        <v>6.6</v>
      </c>
      <c r="D16" s="14">
        <v>6.1</v>
      </c>
      <c r="E16" s="98"/>
      <c r="G16" s="98"/>
      <c r="H16" s="17"/>
    </row>
    <row r="17" spans="1:8">
      <c r="A17" s="98"/>
      <c r="C17" s="97">
        <v>6.6</v>
      </c>
      <c r="D17" s="14">
        <v>6.4</v>
      </c>
      <c r="E17" s="98"/>
      <c r="G17" s="98"/>
      <c r="H17" s="17"/>
    </row>
    <row r="18" spans="1:8">
      <c r="A18" s="98"/>
      <c r="C18" s="97">
        <v>6.6</v>
      </c>
      <c r="D18" s="14">
        <v>6.4</v>
      </c>
      <c r="E18" s="98"/>
      <c r="G18" s="98"/>
      <c r="H18" s="17"/>
    </row>
    <row r="19" spans="1:8">
      <c r="A19" s="98"/>
      <c r="C19" s="97">
        <v>7</v>
      </c>
      <c r="D19" s="14">
        <v>7.3</v>
      </c>
      <c r="E19" s="98"/>
      <c r="G19" s="98"/>
      <c r="H19" s="17"/>
    </row>
    <row r="20" spans="1:8">
      <c r="A20" s="98"/>
      <c r="C20" s="97">
        <v>7</v>
      </c>
      <c r="D20" s="14">
        <v>7.3</v>
      </c>
      <c r="E20" s="98"/>
      <c r="G20" s="98"/>
      <c r="H20" s="17"/>
    </row>
    <row r="21" spans="1:8">
      <c r="A21" s="98"/>
      <c r="C21" s="97"/>
      <c r="D21" s="14"/>
      <c r="E21" s="98"/>
      <c r="G21" s="98"/>
      <c r="H21" s="17"/>
    </row>
    <row r="22" spans="1:8" ht="13.5">
      <c r="A22" s="98"/>
      <c r="C22" s="108" t="s">
        <v>360</v>
      </c>
      <c r="D22" s="12" t="s">
        <v>361</v>
      </c>
      <c r="E22" s="98"/>
      <c r="G22" s="98"/>
      <c r="H22" s="17"/>
    </row>
    <row r="23" spans="1:8" ht="12.75" thickBot="1">
      <c r="A23" s="102"/>
      <c r="B23" s="71"/>
      <c r="C23" s="205">
        <f>_xlfn.QUARTILE.EXC(C4:C20,3)/100</f>
        <v>6.6000000000000003E-2</v>
      </c>
      <c r="D23" s="205">
        <f>_xlfn.QUARTILE.EXC(D4:D20,3)/100</f>
        <v>6.25E-2</v>
      </c>
      <c r="E23" s="102"/>
      <c r="F23" s="71"/>
      <c r="G23" s="102"/>
      <c r="H23" s="104"/>
    </row>
    <row r="24" spans="1:8">
      <c r="A24" s="12"/>
      <c r="B24" s="12"/>
    </row>
    <row r="25" spans="1:8">
      <c r="A25" s="68"/>
    </row>
    <row r="26" spans="1:8">
      <c r="A26" s="12"/>
      <c r="B26" s="14"/>
    </row>
    <row r="27" spans="1:8">
      <c r="B27" s="12"/>
      <c r="C27" s="12"/>
      <c r="D27" s="14"/>
    </row>
    <row r="30" spans="1:8">
      <c r="B30" s="12"/>
    </row>
  </sheetData>
  <mergeCells count="3">
    <mergeCell ref="C2:D2"/>
    <mergeCell ref="E2:F2"/>
    <mergeCell ref="G2:H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AFFC-7F34-49BF-9783-0C983ED6CFE5}">
  <sheetPr codeName="Tabelle10">
    <tabColor rgb="FFE2EEFA"/>
  </sheetPr>
  <dimension ref="A1:S96"/>
  <sheetViews>
    <sheetView zoomScale="130" zoomScaleNormal="130" workbookViewId="0">
      <pane ySplit="1" topLeftCell="A66" activePane="bottomLeft" state="frozen"/>
      <selection pane="bottomLeft" activeCell="H97" sqref="H97"/>
    </sheetView>
  </sheetViews>
  <sheetFormatPr baseColWidth="10" defaultColWidth="11.140625" defaultRowHeight="12"/>
  <cols>
    <col min="1" max="1" width="17.140625" bestFit="1" customWidth="1"/>
    <col min="3" max="3" width="11.140625" style="25"/>
    <col min="4" max="4" width="14.140625" customWidth="1"/>
    <col min="5" max="5" width="13.140625" customWidth="1"/>
    <col min="6" max="6" width="20" customWidth="1"/>
    <col min="8" max="8" width="15.5703125" customWidth="1"/>
    <col min="9" max="9" width="17" customWidth="1"/>
    <col min="12" max="12" width="25.5703125" customWidth="1"/>
    <col min="13" max="13" width="38.140625" hidden="1" customWidth="1"/>
    <col min="14" max="19" width="0" hidden="1" customWidth="1"/>
    <col min="20" max="21" width="10.5703125" customWidth="1"/>
  </cols>
  <sheetData>
    <row r="1" spans="1:19" ht="23.25" customHeight="1">
      <c r="A1" t="s">
        <v>362</v>
      </c>
      <c r="B1" t="s">
        <v>363</v>
      </c>
      <c r="C1" s="25" t="s">
        <v>1563</v>
      </c>
      <c r="D1" t="s">
        <v>1568</v>
      </c>
      <c r="E1" s="273" t="s">
        <v>364</v>
      </c>
      <c r="F1" t="s">
        <v>1561</v>
      </c>
      <c r="G1" t="s">
        <v>365</v>
      </c>
      <c r="H1" s="25" t="s">
        <v>366</v>
      </c>
      <c r="I1" t="s">
        <v>367</v>
      </c>
      <c r="J1" t="s">
        <v>368</v>
      </c>
      <c r="K1" s="273" t="s">
        <v>369</v>
      </c>
      <c r="L1" s="273" t="s">
        <v>1586</v>
      </c>
      <c r="M1" t="s">
        <v>370</v>
      </c>
      <c r="N1" t="s">
        <v>371</v>
      </c>
      <c r="O1" t="s">
        <v>372</v>
      </c>
      <c r="P1" t="s">
        <v>373</v>
      </c>
      <c r="Q1" t="s">
        <v>374</v>
      </c>
      <c r="R1" t="s">
        <v>375</v>
      </c>
      <c r="S1" t="s">
        <v>376</v>
      </c>
    </row>
    <row r="2" spans="1:19" hidden="1">
      <c r="A2" s="25" t="s">
        <v>377</v>
      </c>
      <c r="B2" s="25" t="s">
        <v>378</v>
      </c>
      <c r="C2" s="25" t="s">
        <v>379</v>
      </c>
      <c r="D2" s="25" t="s">
        <v>380</v>
      </c>
      <c r="E2" s="25" t="s">
        <v>381</v>
      </c>
      <c r="F2" s="25" t="s">
        <v>382</v>
      </c>
      <c r="G2" s="25" t="s">
        <v>383</v>
      </c>
      <c r="H2" s="25" t="s">
        <v>384</v>
      </c>
      <c r="I2" s="25" t="s">
        <v>385</v>
      </c>
      <c r="J2" s="25" t="s">
        <v>386</v>
      </c>
      <c r="K2" s="25" t="s">
        <v>387</v>
      </c>
      <c r="L2" s="25" t="s">
        <v>388</v>
      </c>
      <c r="M2" s="189" t="str">
        <f xml:space="preserve"> A2&amp;B2&amp;C2&amp;D2&amp;E2&amp;F2&amp;G2&amp;H2&amp;I2&amp;J2&amp;K2&amp;L2</f>
        <v>innerortsnein&gt;3jaja-------</v>
      </c>
      <c r="N2" s="26">
        <f>1.98*10^-3</f>
        <v>1.98E-3</v>
      </c>
      <c r="O2">
        <v>0.66</v>
      </c>
      <c r="P2" s="194">
        <v>3.7999999999999999E-2</v>
      </c>
      <c r="Q2" s="204">
        <f>'2.2 Nbre (densité) acc.'!$A$18</f>
        <v>1.2077407737518886</v>
      </c>
      <c r="R2" s="194">
        <f>'2.3 Gravité des accidents'!$A$12</f>
        <v>5.3249999999999999E-2</v>
      </c>
      <c r="S2">
        <v>40000</v>
      </c>
    </row>
    <row r="3" spans="1:19" hidden="1">
      <c r="A3" s="25" t="s">
        <v>389</v>
      </c>
      <c r="B3" s="25" t="s">
        <v>390</v>
      </c>
      <c r="C3" s="25" t="s">
        <v>391</v>
      </c>
      <c r="D3" s="25" t="s">
        <v>392</v>
      </c>
      <c r="E3" s="25" t="s">
        <v>393</v>
      </c>
      <c r="F3" s="25" t="s">
        <v>394</v>
      </c>
      <c r="G3" s="25" t="s">
        <v>395</v>
      </c>
      <c r="H3" s="25" t="s">
        <v>396</v>
      </c>
      <c r="I3" s="25" t="s">
        <v>397</v>
      </c>
      <c r="J3" s="25" t="s">
        <v>398</v>
      </c>
      <c r="K3" s="25" t="s">
        <v>399</v>
      </c>
      <c r="L3" s="25" t="s">
        <v>400</v>
      </c>
      <c r="M3" s="189" t="str">
        <f t="shared" ref="M3:M66" si="0" xml:space="preserve"> A3&amp;B3&amp;C3&amp;D3&amp;E3&amp;F3&amp;G3&amp;H3&amp;I3&amp;J3&amp;K3&amp;L3</f>
        <v>innerortsnein&gt;3janein-------</v>
      </c>
      <c r="N3" s="26">
        <f>1.09*10^-3</f>
        <v>1.09E-3</v>
      </c>
      <c r="O3">
        <v>0.66</v>
      </c>
      <c r="P3" s="194">
        <v>3.7999999999999999E-2</v>
      </c>
      <c r="Q3" s="204">
        <f>'2.2 Nbre (densité) acc.'!$A$18</f>
        <v>1.2077407737518886</v>
      </c>
      <c r="R3" s="194">
        <f>'2.3 Gravité des accidents'!$A$12</f>
        <v>5.3249999999999999E-2</v>
      </c>
      <c r="S3">
        <v>40000</v>
      </c>
    </row>
    <row r="4" spans="1:19" hidden="1">
      <c r="A4" s="25" t="s">
        <v>401</v>
      </c>
      <c r="B4" s="25" t="s">
        <v>402</v>
      </c>
      <c r="C4" s="25" t="s">
        <v>403</v>
      </c>
      <c r="D4" s="25" t="s">
        <v>404</v>
      </c>
      <c r="E4" s="25" t="s">
        <v>405</v>
      </c>
      <c r="F4" s="25" t="s">
        <v>406</v>
      </c>
      <c r="G4" s="25" t="s">
        <v>407</v>
      </c>
      <c r="H4" s="25" t="s">
        <v>408</v>
      </c>
      <c r="I4" s="25" t="s">
        <v>409</v>
      </c>
      <c r="J4" s="25" t="s">
        <v>410</v>
      </c>
      <c r="K4" s="25" t="s">
        <v>411</v>
      </c>
      <c r="L4" s="25" t="s">
        <v>412</v>
      </c>
      <c r="M4" s="189" t="str">
        <f t="shared" si="0"/>
        <v>innerortsnein&gt;3neinja-------</v>
      </c>
      <c r="N4" s="26">
        <f>2.3*10^-5</f>
        <v>2.3E-5</v>
      </c>
      <c r="O4">
        <v>1.1200000000000001</v>
      </c>
      <c r="P4" s="194">
        <v>5.7000000000000002E-2</v>
      </c>
      <c r="Q4" s="204">
        <f>'2.2 Nbre (densité) acc.'!$A$18</f>
        <v>1.2077407737518886</v>
      </c>
      <c r="R4" s="194">
        <f>'2.3 Gravité des accidents'!$A$12</f>
        <v>5.3249999999999999E-2</v>
      </c>
      <c r="S4">
        <v>12500</v>
      </c>
    </row>
    <row r="5" spans="1:19" hidden="1">
      <c r="A5" s="25" t="s">
        <v>413</v>
      </c>
      <c r="B5" s="25" t="s">
        <v>414</v>
      </c>
      <c r="C5" s="25" t="s">
        <v>415</v>
      </c>
      <c r="D5" s="25" t="s">
        <v>416</v>
      </c>
      <c r="E5" s="25" t="s">
        <v>417</v>
      </c>
      <c r="F5" s="25" t="s">
        <v>418</v>
      </c>
      <c r="G5" s="25" t="s">
        <v>419</v>
      </c>
      <c r="H5" s="25" t="s">
        <v>420</v>
      </c>
      <c r="I5" s="25" t="s">
        <v>421</v>
      </c>
      <c r="J5" s="25" t="s">
        <v>422</v>
      </c>
      <c r="K5" s="25" t="s">
        <v>423</v>
      </c>
      <c r="L5" s="25" t="s">
        <v>424</v>
      </c>
      <c r="M5" s="189" t="str">
        <f t="shared" si="0"/>
        <v>innerortsnein&gt;3neinnein-------</v>
      </c>
      <c r="N5" s="26">
        <f>1.27*10^-5</f>
        <v>1.27E-5</v>
      </c>
      <c r="O5">
        <v>1.1200000000000001</v>
      </c>
      <c r="P5" s="194">
        <v>5.7000000000000002E-2</v>
      </c>
      <c r="Q5" s="204">
        <f>'2.2 Nbre (densité) acc.'!$A$18</f>
        <v>1.2077407737518886</v>
      </c>
      <c r="R5" s="194">
        <f>'2.3 Gravité des accidents'!$A$12</f>
        <v>5.3249999999999999E-2</v>
      </c>
      <c r="S5">
        <v>14000</v>
      </c>
    </row>
    <row r="6" spans="1:19" hidden="1">
      <c r="A6" s="25" t="s">
        <v>425</v>
      </c>
      <c r="B6" s="25" t="s">
        <v>426</v>
      </c>
      <c r="C6" s="25" t="s">
        <v>427</v>
      </c>
      <c r="D6" s="25" t="s">
        <v>428</v>
      </c>
      <c r="E6" s="25" t="s">
        <v>429</v>
      </c>
      <c r="F6" s="25" t="s">
        <v>430</v>
      </c>
      <c r="G6" s="25" t="s">
        <v>431</v>
      </c>
      <c r="H6" s="25" t="s">
        <v>432</v>
      </c>
      <c r="I6" s="25" t="s">
        <v>433</v>
      </c>
      <c r="J6" s="25" t="s">
        <v>434</v>
      </c>
      <c r="K6" s="25" t="s">
        <v>435</v>
      </c>
      <c r="L6" s="25" t="s">
        <v>436</v>
      </c>
      <c r="M6" s="189" t="str">
        <f t="shared" si="0"/>
        <v>innerortsnein3jaja-------</v>
      </c>
      <c r="N6" s="26">
        <f>1.41*10^-3</f>
        <v>1.41E-3</v>
      </c>
      <c r="O6">
        <v>0.66</v>
      </c>
      <c r="P6" s="194">
        <v>2.8000000000000001E-2</v>
      </c>
      <c r="Q6" s="204">
        <f>'2.2 Nbre (densité) acc.'!$A$18</f>
        <v>1.2077407737518886</v>
      </c>
      <c r="R6" s="194">
        <f>'2.3 Gravité des accidents'!$A$12</f>
        <v>5.3249999999999999E-2</v>
      </c>
      <c r="S6">
        <v>28000</v>
      </c>
    </row>
    <row r="7" spans="1:19" hidden="1">
      <c r="A7" s="25" t="s">
        <v>437</v>
      </c>
      <c r="B7" s="25" t="s">
        <v>438</v>
      </c>
      <c r="C7" s="25" t="s">
        <v>439</v>
      </c>
      <c r="D7" s="25" t="s">
        <v>440</v>
      </c>
      <c r="E7" s="25" t="s">
        <v>441</v>
      </c>
      <c r="F7" s="25" t="s">
        <v>442</v>
      </c>
      <c r="G7" s="25" t="s">
        <v>443</v>
      </c>
      <c r="H7" s="25" t="s">
        <v>444</v>
      </c>
      <c r="I7" s="25" t="s">
        <v>445</v>
      </c>
      <c r="J7" s="25" t="s">
        <v>446</v>
      </c>
      <c r="K7" s="25" t="s">
        <v>447</v>
      </c>
      <c r="L7" s="25" t="s">
        <v>448</v>
      </c>
      <c r="M7" s="189" t="str">
        <f t="shared" si="0"/>
        <v>innerortsnein3janein-------</v>
      </c>
      <c r="N7" s="26">
        <f>7.74*10^-4</f>
        <v>7.7400000000000006E-4</v>
      </c>
      <c r="O7">
        <v>0.66</v>
      </c>
      <c r="P7" s="194">
        <v>2.8000000000000001E-2</v>
      </c>
      <c r="Q7" s="204">
        <f>'2.2 Nbre (densité) acc.'!$A$18</f>
        <v>1.2077407737518886</v>
      </c>
      <c r="R7" s="194">
        <f>'2.3 Gravité des accidents'!$A$12</f>
        <v>5.3249999999999999E-2</v>
      </c>
      <c r="S7">
        <v>28000</v>
      </c>
    </row>
    <row r="8" spans="1:19" hidden="1">
      <c r="A8" s="25" t="s">
        <v>449</v>
      </c>
      <c r="B8" s="25" t="s">
        <v>450</v>
      </c>
      <c r="C8" s="25" t="s">
        <v>451</v>
      </c>
      <c r="D8" s="25" t="s">
        <v>452</v>
      </c>
      <c r="E8" s="25" t="s">
        <v>453</v>
      </c>
      <c r="F8" s="25" t="s">
        <v>454</v>
      </c>
      <c r="G8" s="25" t="s">
        <v>455</v>
      </c>
      <c r="H8" s="25" t="s">
        <v>456</v>
      </c>
      <c r="I8" s="25" t="s">
        <v>457</v>
      </c>
      <c r="J8" s="25" t="s">
        <v>458</v>
      </c>
      <c r="K8" s="25" t="s">
        <v>459</v>
      </c>
      <c r="L8" s="25" t="s">
        <v>460</v>
      </c>
      <c r="M8" s="189" t="str">
        <f t="shared" si="0"/>
        <v>innerortsnein3neinja-------</v>
      </c>
      <c r="N8" s="26">
        <f>1.56*10^-5</f>
        <v>1.5600000000000003E-5</v>
      </c>
      <c r="O8">
        <v>1.1200000000000001</v>
      </c>
      <c r="P8" s="194">
        <v>0.05</v>
      </c>
      <c r="Q8" s="204">
        <f>'2.2 Nbre (densité) acc.'!$A$18</f>
        <v>1.2077407737518886</v>
      </c>
      <c r="R8" s="194">
        <f>'2.3 Gravité des accidents'!$A$12</f>
        <v>5.3249999999999999E-2</v>
      </c>
      <c r="S8">
        <v>11000</v>
      </c>
    </row>
    <row r="9" spans="1:19" hidden="1">
      <c r="A9" s="25" t="s">
        <v>461</v>
      </c>
      <c r="B9" s="25" t="s">
        <v>462</v>
      </c>
      <c r="C9" s="25" t="s">
        <v>463</v>
      </c>
      <c r="D9" s="25" t="s">
        <v>464</v>
      </c>
      <c r="E9" s="25" t="s">
        <v>465</v>
      </c>
      <c r="F9" s="25" t="s">
        <v>466</v>
      </c>
      <c r="G9" s="25" t="s">
        <v>467</v>
      </c>
      <c r="H9" s="25" t="s">
        <v>468</v>
      </c>
      <c r="I9" s="25" t="s">
        <v>469</v>
      </c>
      <c r="J9" s="25" t="s">
        <v>470</v>
      </c>
      <c r="K9" s="25" t="s">
        <v>471</v>
      </c>
      <c r="L9" s="25" t="s">
        <v>472</v>
      </c>
      <c r="M9" s="189" t="str">
        <f t="shared" si="0"/>
        <v>innerortsnein3neinnein-------</v>
      </c>
      <c r="N9" s="26">
        <f>8.57*10^-6</f>
        <v>8.5699999999999993E-6</v>
      </c>
      <c r="O9">
        <v>1.1200000000000001</v>
      </c>
      <c r="P9" s="194">
        <v>0.05</v>
      </c>
      <c r="Q9" s="204">
        <f>'2.2 Nbre (densité) acc.'!$A$18</f>
        <v>1.2077407737518886</v>
      </c>
      <c r="R9" s="194">
        <f>'2.3 Gravité des accidents'!$A$12</f>
        <v>5.3249999999999999E-2</v>
      </c>
      <c r="S9">
        <v>12000</v>
      </c>
    </row>
    <row r="10" spans="1:19" hidden="1">
      <c r="A10" s="25" t="s">
        <v>473</v>
      </c>
      <c r="B10" s="25" t="s">
        <v>474</v>
      </c>
      <c r="C10" s="25" t="s">
        <v>475</v>
      </c>
      <c r="D10" s="25" t="s">
        <v>476</v>
      </c>
      <c r="E10" s="25" t="s">
        <v>477</v>
      </c>
      <c r="F10" s="25" t="s">
        <v>478</v>
      </c>
      <c r="G10" s="25" t="s">
        <v>479</v>
      </c>
      <c r="H10" s="25" t="s">
        <v>480</v>
      </c>
      <c r="I10" s="25" t="s">
        <v>481</v>
      </c>
      <c r="J10" s="25" t="s">
        <v>482</v>
      </c>
      <c r="K10" s="25" t="s">
        <v>483</v>
      </c>
      <c r="L10" s="25" t="s">
        <v>484</v>
      </c>
      <c r="M10" s="189" t="str">
        <f t="shared" si="0"/>
        <v>innerortsja&gt;3-ja-------</v>
      </c>
      <c r="N10" s="26">
        <f>3.77*10^-3</f>
        <v>3.7699999999999999E-3</v>
      </c>
      <c r="O10">
        <v>0.59</v>
      </c>
      <c r="P10" s="194">
        <v>5.1999999999999998E-2</v>
      </c>
      <c r="Q10" s="204">
        <f>'2.2 Nbre (densité) acc.'!$A$18</f>
        <v>1.2077407737518886</v>
      </c>
      <c r="R10" s="194">
        <f>'2.3 Gravité des accidents'!$A$12</f>
        <v>5.3249999999999999E-2</v>
      </c>
      <c r="S10">
        <v>24500</v>
      </c>
    </row>
    <row r="11" spans="1:19" hidden="1">
      <c r="A11" s="25" t="s">
        <v>485</v>
      </c>
      <c r="B11" s="25" t="s">
        <v>486</v>
      </c>
      <c r="C11" s="25" t="s">
        <v>487</v>
      </c>
      <c r="D11" s="25" t="s">
        <v>488</v>
      </c>
      <c r="E11" s="25" t="s">
        <v>489</v>
      </c>
      <c r="F11" s="25" t="s">
        <v>490</v>
      </c>
      <c r="G11" s="25" t="s">
        <v>491</v>
      </c>
      <c r="H11" s="25" t="s">
        <v>492</v>
      </c>
      <c r="I11" s="25" t="s">
        <v>493</v>
      </c>
      <c r="J11" s="25" t="s">
        <v>494</v>
      </c>
      <c r="K11" s="25" t="s">
        <v>495</v>
      </c>
      <c r="L11" s="25" t="s">
        <v>496</v>
      </c>
      <c r="M11" s="189" t="str">
        <f t="shared" si="0"/>
        <v>innerortsja&gt;3-nein-------</v>
      </c>
      <c r="N11" s="26">
        <f>2.08*10^-3</f>
        <v>2.0800000000000003E-3</v>
      </c>
      <c r="O11">
        <v>0.59</v>
      </c>
      <c r="P11" s="194">
        <v>5.1999999999999998E-2</v>
      </c>
      <c r="Q11" s="204">
        <f>'2.2 Nbre (densité) acc.'!$A$18</f>
        <v>1.2077407737518886</v>
      </c>
      <c r="R11" s="194">
        <f>'2.3 Gravité des accidents'!$A$12</f>
        <v>5.3249999999999999E-2</v>
      </c>
      <c r="S11">
        <v>27000</v>
      </c>
    </row>
    <row r="12" spans="1:19" hidden="1">
      <c r="A12" s="25" t="s">
        <v>497</v>
      </c>
      <c r="B12" s="25" t="s">
        <v>498</v>
      </c>
      <c r="C12" s="25" t="s">
        <v>499</v>
      </c>
      <c r="D12" s="25" t="s">
        <v>500</v>
      </c>
      <c r="E12" s="25" t="s">
        <v>501</v>
      </c>
      <c r="F12" s="25" t="s">
        <v>502</v>
      </c>
      <c r="G12" s="25" t="s">
        <v>503</v>
      </c>
      <c r="H12" s="25" t="s">
        <v>504</v>
      </c>
      <c r="I12" s="25" t="s">
        <v>505</v>
      </c>
      <c r="J12" s="25" t="s">
        <v>506</v>
      </c>
      <c r="K12" s="25" t="s">
        <v>507</v>
      </c>
      <c r="L12" s="25" t="s">
        <v>508</v>
      </c>
      <c r="M12" s="189" t="str">
        <f t="shared" si="0"/>
        <v>innerortsja3-ja-------</v>
      </c>
      <c r="N12" s="26">
        <f>2.27*10^-3</f>
        <v>2.2699999999999999E-3</v>
      </c>
      <c r="O12">
        <v>0.59</v>
      </c>
      <c r="P12" s="194">
        <v>4.4999999999999998E-2</v>
      </c>
      <c r="Q12" s="204">
        <f>'2.2 Nbre (densité) acc.'!$A$18</f>
        <v>1.2077407737518886</v>
      </c>
      <c r="R12" s="194">
        <f>'2.3 Gravité des accidents'!$A$12</f>
        <v>5.3249999999999999E-2</v>
      </c>
      <c r="S12">
        <v>16500</v>
      </c>
    </row>
    <row r="13" spans="1:19" hidden="1">
      <c r="A13" s="25" t="s">
        <v>509</v>
      </c>
      <c r="B13" s="25" t="s">
        <v>510</v>
      </c>
      <c r="C13" s="25" t="s">
        <v>511</v>
      </c>
      <c r="D13" s="25" t="s">
        <v>512</v>
      </c>
      <c r="E13" s="25" t="s">
        <v>513</v>
      </c>
      <c r="F13" s="25" t="s">
        <v>514</v>
      </c>
      <c r="G13" s="25" t="s">
        <v>515</v>
      </c>
      <c r="H13" s="25" t="s">
        <v>516</v>
      </c>
      <c r="I13" s="25" t="s">
        <v>517</v>
      </c>
      <c r="J13" s="25" t="s">
        <v>518</v>
      </c>
      <c r="K13" s="25" t="s">
        <v>519</v>
      </c>
      <c r="L13" s="25" t="s">
        <v>520</v>
      </c>
      <c r="M13" s="189" t="str">
        <f t="shared" si="0"/>
        <v>innerortsja3-nein-------</v>
      </c>
      <c r="N13" s="26">
        <f>1.25*10^-3</f>
        <v>1.25E-3</v>
      </c>
      <c r="O13">
        <v>0.59</v>
      </c>
      <c r="P13" s="194">
        <v>4.4999999999999998E-2</v>
      </c>
      <c r="Q13" s="204">
        <f>'2.2 Nbre (densité) acc.'!$A$18</f>
        <v>1.2077407737518886</v>
      </c>
      <c r="R13" s="194">
        <f>'2.3 Gravité des accidents'!$A$12</f>
        <v>5.3249999999999999E-2</v>
      </c>
      <c r="S13">
        <v>18000</v>
      </c>
    </row>
    <row r="14" spans="1:19" hidden="1">
      <c r="A14" s="42" t="s">
        <v>521</v>
      </c>
      <c r="B14" s="42" t="s">
        <v>522</v>
      </c>
      <c r="C14" s="42" t="s">
        <v>523</v>
      </c>
      <c r="D14" s="42" t="s">
        <v>524</v>
      </c>
      <c r="E14" s="42" t="s">
        <v>525</v>
      </c>
      <c r="F14" s="42" t="s">
        <v>526</v>
      </c>
      <c r="G14" s="42" t="s">
        <v>527</v>
      </c>
      <c r="H14" s="42" t="s">
        <v>528</v>
      </c>
      <c r="I14" s="42" t="s">
        <v>529</v>
      </c>
      <c r="J14" s="42" t="s">
        <v>530</v>
      </c>
      <c r="K14" s="42" t="s">
        <v>531</v>
      </c>
      <c r="L14" s="42" t="s">
        <v>532</v>
      </c>
      <c r="M14" s="189" t="str">
        <f xml:space="preserve"> A14&amp;B14&amp;C14&amp;D14&amp;E14&amp;F14&amp;G14&amp;H14&amp;I14&amp;J14&amp;K14&amp;L14</f>
        <v>ausserortsnein&gt;3jaja-------</v>
      </c>
      <c r="N14" s="43">
        <v>1.25E-3</v>
      </c>
      <c r="O14" s="41">
        <v>0.63</v>
      </c>
      <c r="P14" s="195">
        <v>1.6E-2</v>
      </c>
      <c r="Q14" s="204">
        <f>'2.2 Nbre (densité) acc.'!$B$18</f>
        <v>1.0193449865833717</v>
      </c>
      <c r="R14" s="194">
        <f>'2.3 Gravité des accidents'!$B$12</f>
        <v>5.6250000000000001E-2</v>
      </c>
      <c r="S14">
        <v>57000</v>
      </c>
    </row>
    <row r="15" spans="1:19" hidden="1">
      <c r="A15" s="42" t="s">
        <v>533</v>
      </c>
      <c r="B15" s="42" t="s">
        <v>534</v>
      </c>
      <c r="C15" s="42" t="s">
        <v>535</v>
      </c>
      <c r="D15" s="42" t="s">
        <v>536</v>
      </c>
      <c r="E15" s="42" t="s">
        <v>537</v>
      </c>
      <c r="F15" s="42" t="s">
        <v>538</v>
      </c>
      <c r="G15" s="42" t="s">
        <v>539</v>
      </c>
      <c r="H15" s="42" t="s">
        <v>540</v>
      </c>
      <c r="I15" s="42" t="s">
        <v>541</v>
      </c>
      <c r="J15" s="42" t="s">
        <v>542</v>
      </c>
      <c r="K15" s="42" t="s">
        <v>543</v>
      </c>
      <c r="L15" s="42" t="s">
        <v>544</v>
      </c>
      <c r="M15" s="189" t="str">
        <f t="shared" si="0"/>
        <v>ausserortsnein&gt;3janein-------</v>
      </c>
      <c r="N15" s="43">
        <v>9.2800000000000001E-4</v>
      </c>
      <c r="O15" s="41">
        <v>0.63</v>
      </c>
      <c r="P15" s="195">
        <v>1.6E-2</v>
      </c>
      <c r="Q15" s="204">
        <f>'2.2 Nbre (densité) acc.'!$B$18</f>
        <v>1.0193449865833717</v>
      </c>
      <c r="R15" s="194">
        <f>'2.3 Gravité des accidents'!$B$12</f>
        <v>5.6250000000000001E-2</v>
      </c>
      <c r="S15">
        <v>57000</v>
      </c>
    </row>
    <row r="16" spans="1:19" hidden="1">
      <c r="A16" s="42" t="s">
        <v>545</v>
      </c>
      <c r="B16" s="42" t="s">
        <v>546</v>
      </c>
      <c r="C16" s="42" t="s">
        <v>547</v>
      </c>
      <c r="D16" s="42" t="s">
        <v>548</v>
      </c>
      <c r="E16" s="42" t="s">
        <v>549</v>
      </c>
      <c r="F16" s="42" t="s">
        <v>550</v>
      </c>
      <c r="G16" s="42" t="s">
        <v>551</v>
      </c>
      <c r="H16" s="42" t="s">
        <v>552</v>
      </c>
      <c r="I16" s="42" t="s">
        <v>553</v>
      </c>
      <c r="J16" s="42" t="s">
        <v>554</v>
      </c>
      <c r="K16" s="42" t="s">
        <v>555</v>
      </c>
      <c r="L16" s="42" t="s">
        <v>556</v>
      </c>
      <c r="M16" s="189" t="str">
        <f t="shared" si="0"/>
        <v>ausserortsnein&gt;3neinja-------</v>
      </c>
      <c r="N16" s="43">
        <v>4.8300000000000003E-4</v>
      </c>
      <c r="O16" s="41">
        <v>0.78</v>
      </c>
      <c r="P16" s="195">
        <v>4.3999999999999997E-2</v>
      </c>
      <c r="Q16" s="204">
        <f>'2.2 Nbre (densité) acc.'!$B$18</f>
        <v>1.0193449865833717</v>
      </c>
      <c r="R16" s="194">
        <f>'2.3 Gravité des accidents'!$B$12</f>
        <v>5.6250000000000001E-2</v>
      </c>
      <c r="S16">
        <v>18000</v>
      </c>
    </row>
    <row r="17" spans="1:19" hidden="1">
      <c r="A17" s="42" t="s">
        <v>557</v>
      </c>
      <c r="B17" s="42" t="s">
        <v>558</v>
      </c>
      <c r="C17" s="42" t="s">
        <v>559</v>
      </c>
      <c r="D17" s="42" t="s">
        <v>560</v>
      </c>
      <c r="E17" s="42" t="s">
        <v>561</v>
      </c>
      <c r="F17" s="42" t="s">
        <v>562</v>
      </c>
      <c r="G17" s="42" t="s">
        <v>563</v>
      </c>
      <c r="H17" s="42" t="s">
        <v>564</v>
      </c>
      <c r="I17" s="42" t="s">
        <v>565</v>
      </c>
      <c r="J17" s="42" t="s">
        <v>566</v>
      </c>
      <c r="K17" s="42" t="s">
        <v>567</v>
      </c>
      <c r="L17" s="42" t="s">
        <v>568</v>
      </c>
      <c r="M17" s="189" t="str">
        <f t="shared" si="0"/>
        <v>ausserortsnein&gt;3neinnein-------</v>
      </c>
      <c r="N17" s="43">
        <v>3.5800000000000003E-4</v>
      </c>
      <c r="O17" s="41">
        <v>0.78</v>
      </c>
      <c r="P17" s="195">
        <v>4.3999999999999997E-2</v>
      </c>
      <c r="Q17" s="204">
        <f>'2.2 Nbre (densité) acc.'!$B$18</f>
        <v>1.0193449865833717</v>
      </c>
      <c r="R17" s="194">
        <f>'2.3 Gravité des accidents'!$B$12</f>
        <v>5.6250000000000001E-2</v>
      </c>
      <c r="S17">
        <v>20000</v>
      </c>
    </row>
    <row r="18" spans="1:19" hidden="1">
      <c r="A18" s="42" t="s">
        <v>569</v>
      </c>
      <c r="B18" s="42" t="s">
        <v>570</v>
      </c>
      <c r="C18" s="42" t="s">
        <v>571</v>
      </c>
      <c r="D18" s="42" t="s">
        <v>572</v>
      </c>
      <c r="E18" s="42" t="s">
        <v>573</v>
      </c>
      <c r="F18" s="42" t="s">
        <v>574</v>
      </c>
      <c r="G18" s="42" t="s">
        <v>575</v>
      </c>
      <c r="H18" s="42" t="s">
        <v>576</v>
      </c>
      <c r="I18" s="42" t="s">
        <v>577</v>
      </c>
      <c r="J18" s="42" t="s">
        <v>578</v>
      </c>
      <c r="K18" s="42" t="s">
        <v>579</v>
      </c>
      <c r="L18" s="42" t="s">
        <v>580</v>
      </c>
      <c r="M18" s="189" t="str">
        <f t="shared" si="0"/>
        <v>ausserortsnein3jaja-------</v>
      </c>
      <c r="N18" s="43">
        <v>8.3900000000000012E-4</v>
      </c>
      <c r="O18" s="41">
        <v>0.63</v>
      </c>
      <c r="P18" s="195">
        <v>2.1999999999999999E-2</v>
      </c>
      <c r="Q18" s="204">
        <f>'2.2 Nbre (densité) acc.'!$B$18</f>
        <v>1.0193449865833717</v>
      </c>
      <c r="R18" s="194">
        <f>'2.3 Gravité des accidents'!$B$12</f>
        <v>5.6250000000000001E-2</v>
      </c>
      <c r="S18">
        <v>40000</v>
      </c>
    </row>
    <row r="19" spans="1:19" hidden="1">
      <c r="A19" s="42" t="s">
        <v>581</v>
      </c>
      <c r="B19" s="42" t="s">
        <v>582</v>
      </c>
      <c r="C19" s="42" t="s">
        <v>583</v>
      </c>
      <c r="D19" s="42" t="s">
        <v>584</v>
      </c>
      <c r="E19" s="42" t="s">
        <v>585</v>
      </c>
      <c r="F19" s="42" t="s">
        <v>586</v>
      </c>
      <c r="G19" s="42" t="s">
        <v>587</v>
      </c>
      <c r="H19" s="42" t="s">
        <v>588</v>
      </c>
      <c r="I19" s="42" t="s">
        <v>589</v>
      </c>
      <c r="J19" s="42" t="s">
        <v>590</v>
      </c>
      <c r="K19" s="42" t="s">
        <v>591</v>
      </c>
      <c r="L19" s="42" t="s">
        <v>592</v>
      </c>
      <c r="M19" s="189" t="str">
        <f t="shared" si="0"/>
        <v>ausserortsnein3janein-------</v>
      </c>
      <c r="N19" s="43">
        <v>6.2200000000000005E-4</v>
      </c>
      <c r="O19" s="41">
        <v>0.63</v>
      </c>
      <c r="P19" s="195">
        <v>2.1999999999999999E-2</v>
      </c>
      <c r="Q19" s="204">
        <f>'2.2 Nbre (densité) acc.'!$B$18</f>
        <v>1.0193449865833717</v>
      </c>
      <c r="R19" s="194">
        <f>'2.3 Gravité des accidents'!$B$12</f>
        <v>5.6250000000000001E-2</v>
      </c>
      <c r="S19">
        <v>40000</v>
      </c>
    </row>
    <row r="20" spans="1:19" hidden="1">
      <c r="A20" s="42" t="s">
        <v>593</v>
      </c>
      <c r="B20" s="42" t="s">
        <v>594</v>
      </c>
      <c r="C20" s="42" t="s">
        <v>595</v>
      </c>
      <c r="D20" s="42" t="s">
        <v>596</v>
      </c>
      <c r="E20" s="42" t="s">
        <v>597</v>
      </c>
      <c r="F20" s="42" t="s">
        <v>598</v>
      </c>
      <c r="G20" s="42" t="s">
        <v>599</v>
      </c>
      <c r="H20" s="42" t="s">
        <v>600</v>
      </c>
      <c r="I20" s="42" t="s">
        <v>601</v>
      </c>
      <c r="J20" s="42" t="s">
        <v>602</v>
      </c>
      <c r="K20" s="42" t="s">
        <v>603</v>
      </c>
      <c r="L20" s="42" t="s">
        <v>604</v>
      </c>
      <c r="M20" s="189" t="str">
        <f t="shared" si="0"/>
        <v>ausserortsnein3neinja-------</v>
      </c>
      <c r="N20" s="43">
        <v>2.8800000000000001E-4</v>
      </c>
      <c r="O20" s="41">
        <v>0.78</v>
      </c>
      <c r="P20" s="195">
        <v>6.3E-2</v>
      </c>
      <c r="Q20" s="204">
        <f>'2.2 Nbre (densité) acc.'!$B$18</f>
        <v>1.0193449865833717</v>
      </c>
      <c r="R20" s="194">
        <f>'2.3 Gravité des accidents'!$B$12</f>
        <v>5.6250000000000001E-2</v>
      </c>
      <c r="S20">
        <v>15500</v>
      </c>
    </row>
    <row r="21" spans="1:19" hidden="1">
      <c r="A21" s="42" t="s">
        <v>605</v>
      </c>
      <c r="B21" s="42" t="s">
        <v>606</v>
      </c>
      <c r="C21" s="42" t="s">
        <v>607</v>
      </c>
      <c r="D21" s="42" t="s">
        <v>608</v>
      </c>
      <c r="E21" s="42" t="s">
        <v>609</v>
      </c>
      <c r="F21" s="42" t="s">
        <v>610</v>
      </c>
      <c r="G21" s="42" t="s">
        <v>611</v>
      </c>
      <c r="H21" s="42" t="s">
        <v>612</v>
      </c>
      <c r="I21" s="42" t="s">
        <v>613</v>
      </c>
      <c r="J21" s="42" t="s">
        <v>614</v>
      </c>
      <c r="K21" s="42" t="s">
        <v>615</v>
      </c>
      <c r="L21" s="42" t="s">
        <v>616</v>
      </c>
      <c r="M21" s="189" t="str">
        <f t="shared" si="0"/>
        <v>ausserortsnein3neinnein-------</v>
      </c>
      <c r="N21" s="43">
        <v>2.1400000000000002E-4</v>
      </c>
      <c r="O21" s="41">
        <v>0.78</v>
      </c>
      <c r="P21" s="195">
        <v>6.3E-2</v>
      </c>
      <c r="Q21" s="204">
        <f>'2.2 Nbre (densité) acc.'!$B$18</f>
        <v>1.0193449865833717</v>
      </c>
      <c r="R21" s="194">
        <f>'2.3 Gravité des accidents'!$B$12</f>
        <v>5.6250000000000001E-2</v>
      </c>
      <c r="S21">
        <v>17000</v>
      </c>
    </row>
    <row r="22" spans="1:19" hidden="1">
      <c r="A22" s="42" t="s">
        <v>617</v>
      </c>
      <c r="B22" s="42" t="s">
        <v>618</v>
      </c>
      <c r="C22" s="42" t="s">
        <v>619</v>
      </c>
      <c r="D22" s="42" t="s">
        <v>620</v>
      </c>
      <c r="E22" s="42" t="s">
        <v>621</v>
      </c>
      <c r="F22" s="42" t="s">
        <v>622</v>
      </c>
      <c r="G22" s="42" t="s">
        <v>623</v>
      </c>
      <c r="H22" s="42" t="s">
        <v>624</v>
      </c>
      <c r="I22" s="42" t="s">
        <v>625</v>
      </c>
      <c r="J22" s="42" t="s">
        <v>626</v>
      </c>
      <c r="K22" s="42" t="s">
        <v>627</v>
      </c>
      <c r="L22" s="42" t="s">
        <v>628</v>
      </c>
      <c r="M22" s="189" t="str">
        <f t="shared" si="0"/>
        <v>ausserortsja&gt;3-ja-------</v>
      </c>
      <c r="N22" s="43">
        <v>3.9300000000000003E-3</v>
      </c>
      <c r="O22" s="41">
        <v>0.56000000000000005</v>
      </c>
      <c r="P22" s="195">
        <v>5.3999999999999999E-2</v>
      </c>
      <c r="Q22" s="204">
        <f>'2.2 Nbre (densité) acc.'!$B$18</f>
        <v>1.0193449865833717</v>
      </c>
      <c r="R22" s="194">
        <f>'2.3 Gravité des accidents'!$B$12</f>
        <v>5.6250000000000001E-2</v>
      </c>
      <c r="S22">
        <v>31500</v>
      </c>
    </row>
    <row r="23" spans="1:19" hidden="1">
      <c r="A23" s="42" t="s">
        <v>629</v>
      </c>
      <c r="B23" s="42" t="s">
        <v>630</v>
      </c>
      <c r="C23" s="42" t="s">
        <v>631</v>
      </c>
      <c r="D23" s="42" t="s">
        <v>632</v>
      </c>
      <c r="E23" s="42" t="s">
        <v>633</v>
      </c>
      <c r="F23" s="42" t="s">
        <v>634</v>
      </c>
      <c r="G23" s="42" t="s">
        <v>635</v>
      </c>
      <c r="H23" s="42" t="s">
        <v>636</v>
      </c>
      <c r="I23" s="42" t="s">
        <v>637</v>
      </c>
      <c r="J23" s="42" t="s">
        <v>638</v>
      </c>
      <c r="K23" s="42" t="s">
        <v>639</v>
      </c>
      <c r="L23" s="42" t="s">
        <v>640</v>
      </c>
      <c r="M23" s="189" t="str">
        <f t="shared" si="0"/>
        <v>ausserortsja&gt;3-nein-------</v>
      </c>
      <c r="N23" s="43">
        <v>2.9199999999999999E-3</v>
      </c>
      <c r="O23" s="41">
        <v>0.56000000000000005</v>
      </c>
      <c r="P23" s="195">
        <v>5.3999999999999999E-2</v>
      </c>
      <c r="Q23" s="204">
        <f>'2.2 Nbre (densité) acc.'!$B$18</f>
        <v>1.0193449865833717</v>
      </c>
      <c r="R23" s="194">
        <f>'2.3 Gravité des accidents'!$B$12</f>
        <v>5.6250000000000001E-2</v>
      </c>
      <c r="S23">
        <v>35000</v>
      </c>
    </row>
    <row r="24" spans="1:19" hidden="1">
      <c r="A24" s="42" t="s">
        <v>641</v>
      </c>
      <c r="B24" s="42" t="s">
        <v>642</v>
      </c>
      <c r="C24" s="42" t="s">
        <v>643</v>
      </c>
      <c r="D24" s="42" t="s">
        <v>644</v>
      </c>
      <c r="E24" s="42" t="s">
        <v>645</v>
      </c>
      <c r="F24" s="42" t="s">
        <v>646</v>
      </c>
      <c r="G24" s="42" t="s">
        <v>647</v>
      </c>
      <c r="H24" s="42" t="s">
        <v>648</v>
      </c>
      <c r="I24" s="42" t="s">
        <v>649</v>
      </c>
      <c r="J24" s="42" t="s">
        <v>650</v>
      </c>
      <c r="K24" s="42" t="s">
        <v>651</v>
      </c>
      <c r="L24" s="42" t="s">
        <v>652</v>
      </c>
      <c r="M24" s="189" t="str">
        <f t="shared" si="0"/>
        <v>ausserortsja3-ja-------</v>
      </c>
      <c r="N24" s="43">
        <v>2.2100000000000002E-3</v>
      </c>
      <c r="O24" s="41">
        <v>0.56000000000000005</v>
      </c>
      <c r="P24" s="195">
        <v>0.04</v>
      </c>
      <c r="Q24" s="204">
        <f>'2.2 Nbre (densité) acc.'!$B$18</f>
        <v>1.0193449865833717</v>
      </c>
      <c r="R24" s="194">
        <f>'2.3 Gravité des accidents'!$B$12</f>
        <v>5.6250000000000001E-2</v>
      </c>
      <c r="S24">
        <v>22500</v>
      </c>
    </row>
    <row r="25" spans="1:19" hidden="1">
      <c r="A25" s="42" t="s">
        <v>653</v>
      </c>
      <c r="B25" s="42" t="s">
        <v>654</v>
      </c>
      <c r="C25" s="42" t="s">
        <v>655</v>
      </c>
      <c r="D25" s="42" t="s">
        <v>656</v>
      </c>
      <c r="E25" s="42" t="s">
        <v>657</v>
      </c>
      <c r="F25" s="42" t="s">
        <v>658</v>
      </c>
      <c r="G25" s="42" t="s">
        <v>659</v>
      </c>
      <c r="H25" s="42" t="s">
        <v>660</v>
      </c>
      <c r="I25" s="42" t="s">
        <v>661</v>
      </c>
      <c r="J25" s="42" t="s">
        <v>662</v>
      </c>
      <c r="K25" s="42" t="s">
        <v>663</v>
      </c>
      <c r="L25" s="42" t="s">
        <v>664</v>
      </c>
      <c r="M25" s="189" t="str">
        <f t="shared" si="0"/>
        <v>ausserortsja3-nein-------</v>
      </c>
      <c r="N25" s="43">
        <v>1.64E-3</v>
      </c>
      <c r="O25" s="41">
        <v>0.56000000000000005</v>
      </c>
      <c r="P25" s="195">
        <v>0.04</v>
      </c>
      <c r="Q25" s="204">
        <f>'2.2 Nbre (densité) acc.'!$B$18</f>
        <v>1.0193449865833717</v>
      </c>
      <c r="R25" s="194">
        <f>'2.3 Gravité des accidents'!$B$12</f>
        <v>5.6250000000000001E-2</v>
      </c>
      <c r="S25">
        <v>25000</v>
      </c>
    </row>
    <row r="26" spans="1:19">
      <c r="A26" s="47" t="s">
        <v>665</v>
      </c>
      <c r="B26" s="47" t="s">
        <v>666</v>
      </c>
      <c r="C26" s="47" t="s">
        <v>667</v>
      </c>
      <c r="D26" s="47" t="s">
        <v>668</v>
      </c>
      <c r="E26" s="47" t="s">
        <v>669</v>
      </c>
      <c r="F26" s="47" t="s">
        <v>670</v>
      </c>
      <c r="G26" s="47" t="s">
        <v>671</v>
      </c>
      <c r="H26" s="48" t="s">
        <v>672</v>
      </c>
      <c r="I26" s="47" t="s">
        <v>673</v>
      </c>
      <c r="J26" s="47" t="s">
        <v>674</v>
      </c>
      <c r="K26" s="47" t="s">
        <v>675</v>
      </c>
      <c r="L26" s="47" t="s">
        <v>676</v>
      </c>
      <c r="M26" s="189" t="str">
        <f t="shared" si="0"/>
        <v>innerorts----Hauptstrasseoffene FührungjajajaOhne-</v>
      </c>
      <c r="N26" s="49">
        <f>1.32*10^-3</f>
        <v>1.32E-3</v>
      </c>
      <c r="O26" s="47">
        <v>0.85</v>
      </c>
      <c r="P26" s="196">
        <v>6.3E-2</v>
      </c>
      <c r="Q26" s="204">
        <f>'2.2 Nbre (densité) acc.'!$C$31</f>
        <v>1.6401708719887149</v>
      </c>
      <c r="R26" s="194">
        <f>'2.3 Gravité des accidents'!$C$23</f>
        <v>6.6000000000000003E-2</v>
      </c>
      <c r="S26">
        <v>6000</v>
      </c>
    </row>
    <row r="27" spans="1:19">
      <c r="A27" s="47" t="s">
        <v>677</v>
      </c>
      <c r="B27" s="47" t="s">
        <v>678</v>
      </c>
      <c r="C27" s="47" t="s">
        <v>679</v>
      </c>
      <c r="D27" s="47" t="s">
        <v>680</v>
      </c>
      <c r="E27" s="47" t="s">
        <v>681</v>
      </c>
      <c r="F27" s="47" t="s">
        <v>682</v>
      </c>
      <c r="G27" s="47" t="s">
        <v>683</v>
      </c>
      <c r="H27" s="48" t="s">
        <v>684</v>
      </c>
      <c r="I27" s="47" t="s">
        <v>685</v>
      </c>
      <c r="J27" s="47" t="s">
        <v>686</v>
      </c>
      <c r="K27" s="47" t="s">
        <v>687</v>
      </c>
      <c r="L27" s="47" t="s">
        <v>688</v>
      </c>
      <c r="M27" s="189" t="str">
        <f t="shared" si="0"/>
        <v>innerorts----Hauptstrasseoffene FührungjajajaRadstreifen-</v>
      </c>
      <c r="N27" s="49">
        <f>1.56*10^-3</f>
        <v>1.5600000000000002E-3</v>
      </c>
      <c r="O27" s="47">
        <v>0.85</v>
      </c>
      <c r="P27" s="196">
        <v>7.0000000000000007E-2</v>
      </c>
      <c r="Q27" s="204">
        <f>'2.2 Nbre (densité) acc.'!$C$31</f>
        <v>1.6401708719887149</v>
      </c>
      <c r="R27" s="194">
        <f>'2.3 Gravité des accidents'!$C$23</f>
        <v>6.6000000000000003E-2</v>
      </c>
      <c r="S27">
        <v>4000</v>
      </c>
    </row>
    <row r="28" spans="1:19">
      <c r="A28" s="47" t="s">
        <v>689</v>
      </c>
      <c r="B28" s="47" t="s">
        <v>690</v>
      </c>
      <c r="C28" s="47" t="s">
        <v>691</v>
      </c>
      <c r="D28" s="47" t="s">
        <v>692</v>
      </c>
      <c r="E28" s="47" t="s">
        <v>693</v>
      </c>
      <c r="F28" s="47" t="s">
        <v>694</v>
      </c>
      <c r="G28" s="47" t="s">
        <v>695</v>
      </c>
      <c r="H28" s="48" t="s">
        <v>696</v>
      </c>
      <c r="I28" s="47" t="s">
        <v>697</v>
      </c>
      <c r="J28" s="47" t="s">
        <v>698</v>
      </c>
      <c r="K28" s="47" t="s">
        <v>699</v>
      </c>
      <c r="L28" s="47" t="s">
        <v>700</v>
      </c>
      <c r="M28" s="189" t="str">
        <f t="shared" si="0"/>
        <v>innerorts----Hauptstrasseoffene FührungjajajaRadweg-</v>
      </c>
      <c r="N28" s="49">
        <f>1.46*10^-3</f>
        <v>1.4599999999999999E-3</v>
      </c>
      <c r="O28" s="47">
        <v>0.85</v>
      </c>
      <c r="P28" s="196">
        <v>7.0000000000000007E-2</v>
      </c>
      <c r="Q28" s="204">
        <f>'2.2 Nbre (densité) acc.'!$C$31</f>
        <v>1.6401708719887149</v>
      </c>
      <c r="R28" s="194">
        <f>'2.3 Gravité des accidents'!$C$23</f>
        <v>6.6000000000000003E-2</v>
      </c>
      <c r="S28">
        <v>6500</v>
      </c>
    </row>
    <row r="29" spans="1:19">
      <c r="A29" s="47" t="s">
        <v>701</v>
      </c>
      <c r="B29" s="47" t="s">
        <v>702</v>
      </c>
      <c r="C29" s="47" t="s">
        <v>703</v>
      </c>
      <c r="D29" s="47" t="s">
        <v>704</v>
      </c>
      <c r="E29" s="47" t="s">
        <v>705</v>
      </c>
      <c r="F29" s="47" t="s">
        <v>706</v>
      </c>
      <c r="G29" s="47" t="s">
        <v>707</v>
      </c>
      <c r="H29" s="48" t="s">
        <v>708</v>
      </c>
      <c r="I29" s="47" t="s">
        <v>709</v>
      </c>
      <c r="J29" s="47" t="s">
        <v>710</v>
      </c>
      <c r="K29" s="47" t="s">
        <v>711</v>
      </c>
      <c r="L29" s="47" t="s">
        <v>712</v>
      </c>
      <c r="M29" s="189" t="str">
        <f t="shared" si="0"/>
        <v>innerorts----Hauptstrasseoffene FührungjajaneinOhne-</v>
      </c>
      <c r="N29" s="49">
        <f>8.81*10^-4</f>
        <v>8.8100000000000006E-4</v>
      </c>
      <c r="O29" s="47">
        <v>0.85</v>
      </c>
      <c r="P29" s="196">
        <v>6.3E-2</v>
      </c>
      <c r="Q29" s="204">
        <f>'2.2 Nbre (densité) acc.'!$C$31</f>
        <v>1.6401708719887149</v>
      </c>
      <c r="R29" s="194">
        <f>'2.3 Gravité des accidents'!$C$23</f>
        <v>6.6000000000000003E-2</v>
      </c>
      <c r="S29">
        <v>6000</v>
      </c>
    </row>
    <row r="30" spans="1:19">
      <c r="A30" s="47" t="s">
        <v>713</v>
      </c>
      <c r="B30" s="47" t="s">
        <v>714</v>
      </c>
      <c r="C30" s="47" t="s">
        <v>715</v>
      </c>
      <c r="D30" s="47" t="s">
        <v>716</v>
      </c>
      <c r="E30" s="47" t="s">
        <v>717</v>
      </c>
      <c r="F30" s="47" t="s">
        <v>718</v>
      </c>
      <c r="G30" s="47" t="s">
        <v>719</v>
      </c>
      <c r="H30" s="48" t="s">
        <v>720</v>
      </c>
      <c r="I30" s="47" t="s">
        <v>721</v>
      </c>
      <c r="J30" s="47" t="s">
        <v>722</v>
      </c>
      <c r="K30" s="47" t="s">
        <v>723</v>
      </c>
      <c r="L30" s="47" t="s">
        <v>724</v>
      </c>
      <c r="M30" s="189" t="str">
        <f t="shared" si="0"/>
        <v>innerorts----Hauptstrasseoffene FührungjajaneinRadstreifen-</v>
      </c>
      <c r="N30" s="49">
        <f>1.04*10^-3</f>
        <v>1.0400000000000001E-3</v>
      </c>
      <c r="O30" s="47">
        <v>0.85</v>
      </c>
      <c r="P30" s="196">
        <v>7.0000000000000007E-2</v>
      </c>
      <c r="Q30" s="204">
        <f>'2.2 Nbre (densité) acc.'!$C$31</f>
        <v>1.6401708719887149</v>
      </c>
      <c r="R30" s="194">
        <f>'2.3 Gravité des accidents'!$C$23</f>
        <v>6.6000000000000003E-2</v>
      </c>
      <c r="S30">
        <v>4000</v>
      </c>
    </row>
    <row r="31" spans="1:19">
      <c r="A31" s="47" t="s">
        <v>725</v>
      </c>
      <c r="B31" s="47" t="s">
        <v>726</v>
      </c>
      <c r="C31" s="47" t="s">
        <v>727</v>
      </c>
      <c r="D31" s="47" t="s">
        <v>728</v>
      </c>
      <c r="E31" s="47" t="s">
        <v>729</v>
      </c>
      <c r="F31" s="47" t="s">
        <v>730</v>
      </c>
      <c r="G31" s="47" t="s">
        <v>731</v>
      </c>
      <c r="H31" s="48" t="s">
        <v>732</v>
      </c>
      <c r="I31" s="47" t="s">
        <v>733</v>
      </c>
      <c r="J31" s="47" t="s">
        <v>734</v>
      </c>
      <c r="K31" s="47" t="s">
        <v>735</v>
      </c>
      <c r="L31" s="47" t="s">
        <v>736</v>
      </c>
      <c r="M31" s="189" t="str">
        <f t="shared" si="0"/>
        <v>innerorts----Hauptstrasseoffene FührungjajaneinRadweg-</v>
      </c>
      <c r="N31" s="49">
        <f>9.76*10^-4</f>
        <v>9.7599999999999998E-4</v>
      </c>
      <c r="O31" s="47">
        <v>0.85</v>
      </c>
      <c r="P31" s="196">
        <v>7.0000000000000007E-2</v>
      </c>
      <c r="Q31" s="204">
        <f>'2.2 Nbre (densité) acc.'!$C$31</f>
        <v>1.6401708719887149</v>
      </c>
      <c r="R31" s="194">
        <f>'2.3 Gravité des accidents'!$C$23</f>
        <v>6.6000000000000003E-2</v>
      </c>
      <c r="S31">
        <v>6500</v>
      </c>
    </row>
    <row r="32" spans="1:19">
      <c r="A32" s="47" t="s">
        <v>737</v>
      </c>
      <c r="B32" s="47" t="s">
        <v>738</v>
      </c>
      <c r="C32" s="47" t="s">
        <v>739</v>
      </c>
      <c r="D32" s="47" t="s">
        <v>740</v>
      </c>
      <c r="E32" s="47" t="s">
        <v>741</v>
      </c>
      <c r="F32" s="47" t="s">
        <v>742</v>
      </c>
      <c r="G32" s="47" t="s">
        <v>743</v>
      </c>
      <c r="H32" s="48" t="s">
        <v>744</v>
      </c>
      <c r="I32" s="47" t="s">
        <v>745</v>
      </c>
      <c r="J32" s="47" t="s">
        <v>746</v>
      </c>
      <c r="K32" s="47" t="s">
        <v>747</v>
      </c>
      <c r="L32" s="47" t="s">
        <v>748</v>
      </c>
      <c r="M32" s="189" t="str">
        <f t="shared" si="0"/>
        <v>innerorts----Hauptstrasseoffene FührungjaneinjaOhne-</v>
      </c>
      <c r="N32" s="49">
        <f>5.2*10^-4</f>
        <v>5.2000000000000006E-4</v>
      </c>
      <c r="O32" s="47">
        <v>0.85</v>
      </c>
      <c r="P32" s="196">
        <v>5.5E-2</v>
      </c>
      <c r="Q32" s="204">
        <f>'2.2 Nbre (densité) acc.'!$C$31</f>
        <v>1.6401708719887149</v>
      </c>
      <c r="R32" s="194">
        <f>'2.3 Gravité des accidents'!$C$23</f>
        <v>6.6000000000000003E-2</v>
      </c>
      <c r="S32">
        <v>12000</v>
      </c>
    </row>
    <row r="33" spans="1:19">
      <c r="A33" s="47" t="s">
        <v>749</v>
      </c>
      <c r="B33" s="47" t="s">
        <v>750</v>
      </c>
      <c r="C33" s="47" t="s">
        <v>751</v>
      </c>
      <c r="D33" s="47" t="s">
        <v>752</v>
      </c>
      <c r="E33" s="47" t="s">
        <v>753</v>
      </c>
      <c r="F33" s="47" t="s">
        <v>754</v>
      </c>
      <c r="G33" s="47" t="s">
        <v>755</v>
      </c>
      <c r="H33" s="48" t="s">
        <v>756</v>
      </c>
      <c r="I33" s="47" t="s">
        <v>757</v>
      </c>
      <c r="J33" s="47" t="s">
        <v>758</v>
      </c>
      <c r="K33" s="47" t="s">
        <v>759</v>
      </c>
      <c r="L33" s="47" t="s">
        <v>760</v>
      </c>
      <c r="M33" s="189" t="str">
        <f t="shared" si="0"/>
        <v>innerorts----Hauptstrasseoffene FührungjaneinjaRadstreifen-</v>
      </c>
      <c r="N33" s="49">
        <f>6.16*10^-4</f>
        <v>6.1600000000000001E-4</v>
      </c>
      <c r="O33" s="47">
        <v>0.85</v>
      </c>
      <c r="P33" s="196">
        <v>6.0999999999999999E-2</v>
      </c>
      <c r="Q33" s="204">
        <f>'2.2 Nbre (densité) acc.'!$C$31</f>
        <v>1.6401708719887149</v>
      </c>
      <c r="R33" s="194">
        <f>'2.3 Gravité des accidents'!$C$23</f>
        <v>6.6000000000000003E-2</v>
      </c>
      <c r="S33">
        <v>8000</v>
      </c>
    </row>
    <row r="34" spans="1:19">
      <c r="A34" s="47" t="s">
        <v>761</v>
      </c>
      <c r="B34" s="47" t="s">
        <v>762</v>
      </c>
      <c r="C34" s="47" t="s">
        <v>763</v>
      </c>
      <c r="D34" s="47" t="s">
        <v>764</v>
      </c>
      <c r="E34" s="47" t="s">
        <v>765</v>
      </c>
      <c r="F34" s="47" t="s">
        <v>766</v>
      </c>
      <c r="G34" s="47" t="s">
        <v>767</v>
      </c>
      <c r="H34" s="48" t="s">
        <v>768</v>
      </c>
      <c r="I34" s="47" t="s">
        <v>769</v>
      </c>
      <c r="J34" s="47" t="s">
        <v>770</v>
      </c>
      <c r="K34" s="47" t="s">
        <v>771</v>
      </c>
      <c r="L34" s="47" t="s">
        <v>772</v>
      </c>
      <c r="M34" s="189" t="str">
        <f t="shared" si="0"/>
        <v>innerorts----Hauptstrasseoffene FührungjaneinjaRadweg-</v>
      </c>
      <c r="N34" s="49">
        <f>5.76*10^-4</f>
        <v>5.7600000000000001E-4</v>
      </c>
      <c r="O34" s="47">
        <v>0.85</v>
      </c>
      <c r="P34" s="196">
        <v>6.0999999999999999E-2</v>
      </c>
      <c r="Q34" s="204">
        <f>'2.2 Nbre (densité) acc.'!$C$31</f>
        <v>1.6401708719887149</v>
      </c>
      <c r="R34" s="194">
        <f>'2.3 Gravité des accidents'!$C$23</f>
        <v>6.6000000000000003E-2</v>
      </c>
      <c r="S34">
        <v>13000</v>
      </c>
    </row>
    <row r="35" spans="1:19">
      <c r="A35" s="47" t="s">
        <v>773</v>
      </c>
      <c r="B35" s="47" t="s">
        <v>774</v>
      </c>
      <c r="C35" s="47" t="s">
        <v>775</v>
      </c>
      <c r="D35" s="47" t="s">
        <v>776</v>
      </c>
      <c r="E35" s="47" t="s">
        <v>777</v>
      </c>
      <c r="F35" s="47" t="s">
        <v>778</v>
      </c>
      <c r="G35" s="47" t="s">
        <v>779</v>
      </c>
      <c r="H35" s="48" t="s">
        <v>780</v>
      </c>
      <c r="I35" s="47" t="s">
        <v>781</v>
      </c>
      <c r="J35" s="47" t="s">
        <v>782</v>
      </c>
      <c r="K35" s="47" t="s">
        <v>783</v>
      </c>
      <c r="L35" s="47" t="s">
        <v>784</v>
      </c>
      <c r="M35" s="189" t="str">
        <f t="shared" si="0"/>
        <v>innerorts----Hauptstrasseoffene FührungjaneinneinOhne-</v>
      </c>
      <c r="N35" s="49">
        <f>3.48*10^-4</f>
        <v>3.48E-4</v>
      </c>
      <c r="O35" s="47">
        <v>0.85</v>
      </c>
      <c r="P35" s="196">
        <v>5.5E-2</v>
      </c>
      <c r="Q35" s="204">
        <f>'2.2 Nbre (densité) acc.'!$C$31</f>
        <v>1.6401708719887149</v>
      </c>
      <c r="R35" s="194">
        <f>'2.3 Gravité des accidents'!$C$23</f>
        <v>6.6000000000000003E-2</v>
      </c>
      <c r="S35">
        <v>12000</v>
      </c>
    </row>
    <row r="36" spans="1:19">
      <c r="A36" s="47" t="s">
        <v>785</v>
      </c>
      <c r="B36" s="47" t="s">
        <v>786</v>
      </c>
      <c r="C36" s="47" t="s">
        <v>787</v>
      </c>
      <c r="D36" s="47" t="s">
        <v>788</v>
      </c>
      <c r="E36" s="47" t="s">
        <v>789</v>
      </c>
      <c r="F36" s="47" t="s">
        <v>790</v>
      </c>
      <c r="G36" s="47" t="s">
        <v>791</v>
      </c>
      <c r="H36" s="48" t="s">
        <v>792</v>
      </c>
      <c r="I36" s="47" t="s">
        <v>793</v>
      </c>
      <c r="J36" s="47" t="s">
        <v>794</v>
      </c>
      <c r="K36" s="47" t="s">
        <v>795</v>
      </c>
      <c r="L36" s="47" t="s">
        <v>796</v>
      </c>
      <c r="M36" s="189" t="str">
        <f t="shared" si="0"/>
        <v>innerorts----Hauptstrasseoffene FührungjaneinneinRadstreifen-</v>
      </c>
      <c r="N36" s="49">
        <f>4.12*10^-4</f>
        <v>4.1200000000000004E-4</v>
      </c>
      <c r="O36" s="47">
        <v>0.85</v>
      </c>
      <c r="P36" s="196">
        <v>6.0999999999999999E-2</v>
      </c>
      <c r="Q36" s="204">
        <f>'2.2 Nbre (densité) acc.'!$C$31</f>
        <v>1.6401708719887149</v>
      </c>
      <c r="R36" s="194">
        <f>'2.3 Gravité des accidents'!$C$23</f>
        <v>6.6000000000000003E-2</v>
      </c>
      <c r="S36">
        <v>8000</v>
      </c>
    </row>
    <row r="37" spans="1:19">
      <c r="A37" s="47" t="s">
        <v>797</v>
      </c>
      <c r="B37" s="47" t="s">
        <v>798</v>
      </c>
      <c r="C37" s="47" t="s">
        <v>799</v>
      </c>
      <c r="D37" s="47" t="s">
        <v>800</v>
      </c>
      <c r="E37" s="47" t="s">
        <v>801</v>
      </c>
      <c r="F37" s="47" t="s">
        <v>802</v>
      </c>
      <c r="G37" s="47" t="s">
        <v>803</v>
      </c>
      <c r="H37" s="48" t="s">
        <v>804</v>
      </c>
      <c r="I37" s="47" t="s">
        <v>805</v>
      </c>
      <c r="J37" s="47" t="s">
        <v>806</v>
      </c>
      <c r="K37" s="47" t="s">
        <v>807</v>
      </c>
      <c r="L37" s="47" t="s">
        <v>808</v>
      </c>
      <c r="M37" s="189" t="str">
        <f t="shared" si="0"/>
        <v>innerorts----Hauptstrasseoffene FührungjaneinneinRadweg-</v>
      </c>
      <c r="N37" s="49">
        <f t="shared" ref="N37" si="1">5.2*10^-4</f>
        <v>5.2000000000000006E-4</v>
      </c>
      <c r="O37" s="47">
        <v>0.85</v>
      </c>
      <c r="P37" s="196">
        <v>6.0999999999999999E-2</v>
      </c>
      <c r="Q37" s="204">
        <f>'2.2 Nbre (densité) acc.'!$C$31</f>
        <v>1.6401708719887149</v>
      </c>
      <c r="R37" s="194">
        <f>'2.3 Gravité des accidents'!$C$23</f>
        <v>6.6000000000000003E-2</v>
      </c>
      <c r="S37">
        <v>13000</v>
      </c>
    </row>
    <row r="38" spans="1:19">
      <c r="A38" s="47" t="s">
        <v>809</v>
      </c>
      <c r="B38" s="47" t="s">
        <v>810</v>
      </c>
      <c r="C38" s="47" t="s">
        <v>811</v>
      </c>
      <c r="D38" s="47" t="s">
        <v>812</v>
      </c>
      <c r="E38" s="47" t="s">
        <v>813</v>
      </c>
      <c r="F38" s="47" t="s">
        <v>814</v>
      </c>
      <c r="G38" s="47" t="s">
        <v>815</v>
      </c>
      <c r="H38" s="48" t="s">
        <v>816</v>
      </c>
      <c r="I38" s="47" t="s">
        <v>817</v>
      </c>
      <c r="J38" s="47" t="s">
        <v>818</v>
      </c>
      <c r="K38" s="47" t="s">
        <v>819</v>
      </c>
      <c r="L38" s="47" t="s">
        <v>820</v>
      </c>
      <c r="M38" s="189" t="str">
        <f t="shared" si="0"/>
        <v>innerorts----Hauptstrasseoffene FührungneinjajaOhne-</v>
      </c>
      <c r="N38" s="49">
        <f>9.59*10^-4</f>
        <v>9.59E-4</v>
      </c>
      <c r="O38" s="47">
        <v>0.85</v>
      </c>
      <c r="P38" s="196">
        <v>5.0999999999999997E-2</v>
      </c>
      <c r="Q38" s="204">
        <f>'2.2 Nbre (densité) acc.'!$C$31</f>
        <v>1.6401708719887149</v>
      </c>
      <c r="R38" s="194">
        <f>'2.3 Gravité des accidents'!$C$23</f>
        <v>6.6000000000000003E-2</v>
      </c>
      <c r="S38">
        <v>9000</v>
      </c>
    </row>
    <row r="39" spans="1:19">
      <c r="A39" s="47" t="s">
        <v>821</v>
      </c>
      <c r="B39" s="47" t="s">
        <v>822</v>
      </c>
      <c r="C39" s="47" t="s">
        <v>823</v>
      </c>
      <c r="D39" s="47" t="s">
        <v>824</v>
      </c>
      <c r="E39" s="47" t="s">
        <v>825</v>
      </c>
      <c r="F39" s="47" t="s">
        <v>826</v>
      </c>
      <c r="G39" s="47" t="s">
        <v>827</v>
      </c>
      <c r="H39" s="48" t="s">
        <v>828</v>
      </c>
      <c r="I39" s="47" t="s">
        <v>829</v>
      </c>
      <c r="J39" s="47" t="s">
        <v>830</v>
      </c>
      <c r="K39" s="47" t="s">
        <v>831</v>
      </c>
      <c r="L39" s="47" t="s">
        <v>832</v>
      </c>
      <c r="M39" s="189" t="str">
        <f t="shared" si="0"/>
        <v>innerorts----Hauptstrasseoffene FührungneinjajaRadstreifen-</v>
      </c>
      <c r="N39" s="49">
        <f>1.14*10^-3</f>
        <v>1.14E-3</v>
      </c>
      <c r="O39" s="47">
        <v>0.85</v>
      </c>
      <c r="P39" s="196">
        <v>6.6000000000000003E-2</v>
      </c>
      <c r="Q39" s="204">
        <f>'2.2 Nbre (densité) acc.'!$C$31</f>
        <v>1.6401708719887149</v>
      </c>
      <c r="R39" s="194">
        <f>'2.3 Gravité des accidents'!$C$23</f>
        <v>6.6000000000000003E-2</v>
      </c>
      <c r="S39">
        <v>6000</v>
      </c>
    </row>
    <row r="40" spans="1:19">
      <c r="A40" s="47" t="s">
        <v>833</v>
      </c>
      <c r="B40" s="47" t="s">
        <v>834</v>
      </c>
      <c r="C40" s="47" t="s">
        <v>835</v>
      </c>
      <c r="D40" s="47" t="s">
        <v>836</v>
      </c>
      <c r="E40" s="47" t="s">
        <v>837</v>
      </c>
      <c r="F40" s="47" t="s">
        <v>838</v>
      </c>
      <c r="G40" s="47" t="s">
        <v>839</v>
      </c>
      <c r="H40" s="48" t="s">
        <v>840</v>
      </c>
      <c r="I40" s="47" t="s">
        <v>841</v>
      </c>
      <c r="J40" s="47" t="s">
        <v>842</v>
      </c>
      <c r="K40" s="47" t="s">
        <v>843</v>
      </c>
      <c r="L40" s="47" t="s">
        <v>844</v>
      </c>
      <c r="M40" s="189" t="str">
        <f t="shared" si="0"/>
        <v>innerorts----Hauptstrasseoffene FührungneinjajaRadweg-</v>
      </c>
      <c r="N40" s="49">
        <f>1.06*10^-3</f>
        <v>1.0600000000000002E-3</v>
      </c>
      <c r="O40" s="47">
        <v>0.85</v>
      </c>
      <c r="P40" s="196">
        <v>6.6000000000000003E-2</v>
      </c>
      <c r="Q40" s="204">
        <f>'2.2 Nbre (densité) acc.'!$C$31</f>
        <v>1.6401708719887149</v>
      </c>
      <c r="R40" s="194">
        <f>'2.3 Gravité des accidents'!$C$23</f>
        <v>6.6000000000000003E-2</v>
      </c>
      <c r="S40">
        <v>10000</v>
      </c>
    </row>
    <row r="41" spans="1:19">
      <c r="A41" s="47" t="s">
        <v>845</v>
      </c>
      <c r="B41" s="47" t="s">
        <v>846</v>
      </c>
      <c r="C41" s="47" t="s">
        <v>847</v>
      </c>
      <c r="D41" s="47" t="s">
        <v>848</v>
      </c>
      <c r="E41" s="47" t="s">
        <v>849</v>
      </c>
      <c r="F41" s="47" t="s">
        <v>850</v>
      </c>
      <c r="G41" s="47" t="s">
        <v>851</v>
      </c>
      <c r="H41" s="48" t="s">
        <v>852</v>
      </c>
      <c r="I41" s="47" t="s">
        <v>853</v>
      </c>
      <c r="J41" s="47" t="s">
        <v>854</v>
      </c>
      <c r="K41" s="47" t="s">
        <v>855</v>
      </c>
      <c r="L41" s="47" t="s">
        <v>856</v>
      </c>
      <c r="M41" s="189" t="str">
        <f t="shared" si="0"/>
        <v>innerorts----Hauptstrasseoffene FührungneinjaneinOhne-</v>
      </c>
      <c r="N41" s="49">
        <f>6.41*10^-4</f>
        <v>6.4100000000000008E-4</v>
      </c>
      <c r="O41" s="47">
        <v>0.85</v>
      </c>
      <c r="P41" s="196">
        <v>5.0999999999999997E-2</v>
      </c>
      <c r="Q41" s="204">
        <f>'2.2 Nbre (densité) acc.'!$C$31</f>
        <v>1.6401708719887149</v>
      </c>
      <c r="R41" s="194">
        <f>'2.3 Gravité des accidents'!$C$23</f>
        <v>6.6000000000000003E-2</v>
      </c>
      <c r="S41">
        <v>9000</v>
      </c>
    </row>
    <row r="42" spans="1:19">
      <c r="A42" s="47" t="s">
        <v>857</v>
      </c>
      <c r="B42" s="47" t="s">
        <v>858</v>
      </c>
      <c r="C42" s="47" t="s">
        <v>859</v>
      </c>
      <c r="D42" s="47" t="s">
        <v>860</v>
      </c>
      <c r="E42" s="47" t="s">
        <v>861</v>
      </c>
      <c r="F42" s="47" t="s">
        <v>862</v>
      </c>
      <c r="G42" s="47" t="s">
        <v>863</v>
      </c>
      <c r="H42" s="48" t="s">
        <v>864</v>
      </c>
      <c r="I42" s="47" t="s">
        <v>865</v>
      </c>
      <c r="J42" s="47" t="s">
        <v>866</v>
      </c>
      <c r="K42" s="47" t="s">
        <v>867</v>
      </c>
      <c r="L42" s="47" t="s">
        <v>868</v>
      </c>
      <c r="M42" s="189" t="str">
        <f t="shared" si="0"/>
        <v>innerorts----Hauptstrasseoffene FührungneinjaneinRadstreifen-</v>
      </c>
      <c r="N42" s="49">
        <f>7.6*10^-4</f>
        <v>7.6000000000000004E-4</v>
      </c>
      <c r="O42" s="47">
        <v>0.85</v>
      </c>
      <c r="P42" s="196">
        <v>6.6000000000000003E-2</v>
      </c>
      <c r="Q42" s="204">
        <f>'2.2 Nbre (densité) acc.'!$C$31</f>
        <v>1.6401708719887149</v>
      </c>
      <c r="R42" s="194">
        <f>'2.3 Gravité des accidents'!$C$23</f>
        <v>6.6000000000000003E-2</v>
      </c>
      <c r="S42">
        <v>6000</v>
      </c>
    </row>
    <row r="43" spans="1:19">
      <c r="A43" s="47" t="s">
        <v>869</v>
      </c>
      <c r="B43" s="47" t="s">
        <v>870</v>
      </c>
      <c r="C43" s="47" t="s">
        <v>871</v>
      </c>
      <c r="D43" s="47" t="s">
        <v>872</v>
      </c>
      <c r="E43" s="47" t="s">
        <v>873</v>
      </c>
      <c r="F43" s="47" t="s">
        <v>874</v>
      </c>
      <c r="G43" s="47" t="s">
        <v>875</v>
      </c>
      <c r="H43" s="48" t="s">
        <v>876</v>
      </c>
      <c r="I43" s="47" t="s">
        <v>877</v>
      </c>
      <c r="J43" s="47" t="s">
        <v>878</v>
      </c>
      <c r="K43" s="47" t="s">
        <v>879</v>
      </c>
      <c r="L43" s="47" t="s">
        <v>880</v>
      </c>
      <c r="M43" s="189" t="str">
        <f t="shared" si="0"/>
        <v>innerorts----Hauptstrasseoffene FührungneinjaneinRadweg-</v>
      </c>
      <c r="N43" s="49">
        <f>7.1*10^-4</f>
        <v>7.1000000000000002E-4</v>
      </c>
      <c r="O43" s="47">
        <v>0.85</v>
      </c>
      <c r="P43" s="196">
        <v>6.6000000000000003E-2</v>
      </c>
      <c r="Q43" s="204">
        <f>'2.2 Nbre (densité) acc.'!$C$31</f>
        <v>1.6401708719887149</v>
      </c>
      <c r="R43" s="194">
        <f>'2.3 Gravité des accidents'!$C$23</f>
        <v>6.6000000000000003E-2</v>
      </c>
      <c r="S43">
        <v>10000</v>
      </c>
    </row>
    <row r="44" spans="1:19">
      <c r="A44" s="47" t="s">
        <v>881</v>
      </c>
      <c r="B44" s="47" t="s">
        <v>882</v>
      </c>
      <c r="C44" s="47" t="s">
        <v>883</v>
      </c>
      <c r="D44" s="47" t="s">
        <v>884</v>
      </c>
      <c r="E44" s="47" t="s">
        <v>885</v>
      </c>
      <c r="F44" s="47" t="s">
        <v>886</v>
      </c>
      <c r="G44" s="47" t="s">
        <v>887</v>
      </c>
      <c r="H44" s="48" t="s">
        <v>888</v>
      </c>
      <c r="I44" s="47" t="s">
        <v>889</v>
      </c>
      <c r="J44" s="47" t="s">
        <v>890</v>
      </c>
      <c r="K44" s="47" t="s">
        <v>891</v>
      </c>
      <c r="L44" s="47" t="s">
        <v>892</v>
      </c>
      <c r="M44" s="189" t="str">
        <f t="shared" si="0"/>
        <v>innerorts----Hauptstrasseoffene FührungneinneinjaOhne-</v>
      </c>
      <c r="N44" s="49">
        <f>3.79*10^-4</f>
        <v>3.79E-4</v>
      </c>
      <c r="O44" s="47">
        <v>0.85</v>
      </c>
      <c r="P44" s="196">
        <v>5.0999999999999997E-2</v>
      </c>
      <c r="Q44" s="204">
        <f>'2.2 Nbre (densité) acc.'!$C$31</f>
        <v>1.6401708719887149</v>
      </c>
      <c r="R44" s="194">
        <f>'2.3 Gravité des accidents'!$C$23</f>
        <v>6.6000000000000003E-2</v>
      </c>
      <c r="S44">
        <v>18000</v>
      </c>
    </row>
    <row r="45" spans="1:19">
      <c r="A45" s="47" t="s">
        <v>893</v>
      </c>
      <c r="B45" s="47" t="s">
        <v>894</v>
      </c>
      <c r="C45" s="47" t="s">
        <v>895</v>
      </c>
      <c r="D45" s="47" t="s">
        <v>896</v>
      </c>
      <c r="E45" s="47" t="s">
        <v>897</v>
      </c>
      <c r="F45" s="47" t="s">
        <v>898</v>
      </c>
      <c r="G45" s="47" t="s">
        <v>899</v>
      </c>
      <c r="H45" s="48" t="s">
        <v>900</v>
      </c>
      <c r="I45" s="47" t="s">
        <v>901</v>
      </c>
      <c r="J45" s="47" t="s">
        <v>902</v>
      </c>
      <c r="K45" s="47" t="s">
        <v>903</v>
      </c>
      <c r="L45" s="47" t="s">
        <v>904</v>
      </c>
      <c r="M45" s="189" t="str">
        <f t="shared" si="0"/>
        <v>innerorts----Hauptstrasseoffene FührungneinneinjaRadstreifen-</v>
      </c>
      <c r="N45" s="49">
        <f>4.48*10^-4</f>
        <v>4.4800000000000005E-4</v>
      </c>
      <c r="O45" s="47">
        <v>0.85</v>
      </c>
      <c r="P45" s="196">
        <v>6.6000000000000003E-2</v>
      </c>
      <c r="Q45" s="204">
        <f>'2.2 Nbre (densité) acc.'!$C$31</f>
        <v>1.6401708719887149</v>
      </c>
      <c r="R45" s="194">
        <f>'2.3 Gravité des accidents'!$C$23</f>
        <v>6.6000000000000003E-2</v>
      </c>
      <c r="S45">
        <v>12000</v>
      </c>
    </row>
    <row r="46" spans="1:19">
      <c r="A46" s="47" t="s">
        <v>905</v>
      </c>
      <c r="B46" s="47" t="s">
        <v>906</v>
      </c>
      <c r="C46" s="47" t="s">
        <v>907</v>
      </c>
      <c r="D46" s="47" t="s">
        <v>908</v>
      </c>
      <c r="E46" s="47" t="s">
        <v>909</v>
      </c>
      <c r="F46" s="47" t="s">
        <v>910</v>
      </c>
      <c r="G46" s="47" t="s">
        <v>911</v>
      </c>
      <c r="H46" s="48" t="s">
        <v>912</v>
      </c>
      <c r="I46" s="47" t="s">
        <v>913</v>
      </c>
      <c r="J46" s="47" t="s">
        <v>914</v>
      </c>
      <c r="K46" s="47" t="s">
        <v>915</v>
      </c>
      <c r="L46" s="47" t="s">
        <v>916</v>
      </c>
      <c r="M46" s="189" t="str">
        <f t="shared" si="0"/>
        <v>innerorts----Hauptstrasseoffene FührungneinneinjaRadweg-</v>
      </c>
      <c r="N46" s="49">
        <f>4.19*10^-4</f>
        <v>4.1900000000000005E-4</v>
      </c>
      <c r="O46" s="47">
        <v>0.85</v>
      </c>
      <c r="P46" s="196">
        <v>6.6000000000000003E-2</v>
      </c>
      <c r="Q46" s="204">
        <f>'2.2 Nbre (densité) acc.'!$C$31</f>
        <v>1.6401708719887149</v>
      </c>
      <c r="R46" s="194">
        <f>'2.3 Gravité des accidents'!$C$23</f>
        <v>6.6000000000000003E-2</v>
      </c>
      <c r="S46">
        <v>20000</v>
      </c>
    </row>
    <row r="47" spans="1:19">
      <c r="A47" s="47" t="s">
        <v>917</v>
      </c>
      <c r="B47" s="47" t="s">
        <v>918</v>
      </c>
      <c r="C47" s="47" t="s">
        <v>919</v>
      </c>
      <c r="D47" s="47" t="s">
        <v>920</v>
      </c>
      <c r="E47" s="47" t="s">
        <v>921</v>
      </c>
      <c r="F47" s="47" t="s">
        <v>922</v>
      </c>
      <c r="G47" s="47" t="s">
        <v>923</v>
      </c>
      <c r="H47" s="48" t="s">
        <v>924</v>
      </c>
      <c r="I47" s="47" t="s">
        <v>925</v>
      </c>
      <c r="J47" s="47" t="s">
        <v>926</v>
      </c>
      <c r="K47" s="47" t="s">
        <v>927</v>
      </c>
      <c r="L47" s="47" t="s">
        <v>928</v>
      </c>
      <c r="M47" s="189" t="str">
        <f t="shared" si="0"/>
        <v>innerorts----Hauptstrasseoffene FührungneinneinneinOhne-</v>
      </c>
      <c r="N47" s="49">
        <f>2.53*10^-4</f>
        <v>2.5299999999999997E-4</v>
      </c>
      <c r="O47" s="47">
        <v>0.85</v>
      </c>
      <c r="P47" s="196">
        <v>5.0999999999999997E-2</v>
      </c>
      <c r="Q47" s="204">
        <f>'2.2 Nbre (densité) acc.'!$C$31</f>
        <v>1.6401708719887149</v>
      </c>
      <c r="R47" s="194">
        <f>'2.3 Gravité des accidents'!$C$23</f>
        <v>6.6000000000000003E-2</v>
      </c>
      <c r="S47">
        <v>18000</v>
      </c>
    </row>
    <row r="48" spans="1:19">
      <c r="A48" s="47" t="s">
        <v>929</v>
      </c>
      <c r="B48" s="47" t="s">
        <v>930</v>
      </c>
      <c r="C48" s="47" t="s">
        <v>931</v>
      </c>
      <c r="D48" s="47" t="s">
        <v>932</v>
      </c>
      <c r="E48" s="47" t="s">
        <v>933</v>
      </c>
      <c r="F48" s="47" t="s">
        <v>934</v>
      </c>
      <c r="G48" s="47" t="s">
        <v>935</v>
      </c>
      <c r="H48" s="48" t="s">
        <v>936</v>
      </c>
      <c r="I48" s="47" t="s">
        <v>937</v>
      </c>
      <c r="J48" s="47" t="s">
        <v>938</v>
      </c>
      <c r="K48" s="47" t="s">
        <v>939</v>
      </c>
      <c r="L48" s="47" t="s">
        <v>940</v>
      </c>
      <c r="M48" s="189" t="str">
        <f t="shared" si="0"/>
        <v>innerorts----Hauptstrasseoffene FührungneinneinneinRadstreifen-</v>
      </c>
      <c r="N48" s="49">
        <f>3*10^-4</f>
        <v>3.0000000000000003E-4</v>
      </c>
      <c r="O48" s="47">
        <v>0.85</v>
      </c>
      <c r="P48" s="196">
        <v>6.6000000000000003E-2</v>
      </c>
      <c r="Q48" s="204">
        <f>'2.2 Nbre (densité) acc.'!$C$31</f>
        <v>1.6401708719887149</v>
      </c>
      <c r="R48" s="194">
        <f>'2.3 Gravité des accidents'!$C$23</f>
        <v>6.6000000000000003E-2</v>
      </c>
      <c r="S48">
        <v>12000</v>
      </c>
    </row>
    <row r="49" spans="1:19">
      <c r="A49" s="47" t="s">
        <v>941</v>
      </c>
      <c r="B49" s="47" t="s">
        <v>942</v>
      </c>
      <c r="C49" s="47" t="s">
        <v>943</v>
      </c>
      <c r="D49" s="47" t="s">
        <v>944</v>
      </c>
      <c r="E49" s="47" t="s">
        <v>945</v>
      </c>
      <c r="F49" s="47" t="s">
        <v>946</v>
      </c>
      <c r="G49" s="47" t="s">
        <v>671</v>
      </c>
      <c r="H49" s="48" t="s">
        <v>947</v>
      </c>
      <c r="I49" s="47" t="s">
        <v>948</v>
      </c>
      <c r="J49" s="47" t="s">
        <v>949</v>
      </c>
      <c r="K49" s="47" t="s">
        <v>950</v>
      </c>
      <c r="L49" s="47" t="s">
        <v>951</v>
      </c>
      <c r="M49" s="189" t="str">
        <f t="shared" si="0"/>
        <v>en localité----route principaleguidage ouvertnonnonnonpiste cyclable-</v>
      </c>
      <c r="N49" s="49">
        <f>2.8*10^-4</f>
        <v>2.7999999999999998E-4</v>
      </c>
      <c r="O49" s="47">
        <v>0.85</v>
      </c>
      <c r="P49" s="196">
        <v>6.6000000000000003E-2</v>
      </c>
      <c r="Q49" s="204">
        <f>'2.2 Nbre (densité) acc.'!$C$31</f>
        <v>1.6401708719887149</v>
      </c>
      <c r="R49" s="194">
        <f>'2.3 Gravité des accidents'!$C$23</f>
        <v>6.6000000000000003E-2</v>
      </c>
      <c r="S49">
        <v>20000</v>
      </c>
    </row>
    <row r="50" spans="1:19">
      <c r="A50" s="50" t="s">
        <v>952</v>
      </c>
      <c r="B50" s="47" t="s">
        <v>953</v>
      </c>
      <c r="C50" s="47" t="s">
        <v>954</v>
      </c>
      <c r="D50" s="47" t="s">
        <v>955</v>
      </c>
      <c r="E50" s="47" t="s">
        <v>956</v>
      </c>
      <c r="F50" s="50" t="s">
        <v>957</v>
      </c>
      <c r="G50" s="47" t="s">
        <v>671</v>
      </c>
      <c r="H50" s="51" t="s">
        <v>958</v>
      </c>
      <c r="I50" s="50" t="s">
        <v>959</v>
      </c>
      <c r="J50" s="50" t="s">
        <v>960</v>
      </c>
      <c r="K50" s="50" t="s">
        <v>961</v>
      </c>
      <c r="L50" s="50" t="s">
        <v>962</v>
      </c>
      <c r="M50" s="189" t="str">
        <f t="shared" si="0"/>
        <v>en localité----route secondaireguidage ouvertouiouiouisans-</v>
      </c>
      <c r="N50" s="52">
        <f>1.47*10^-3</f>
        <v>1.47E-3</v>
      </c>
      <c r="O50" s="50">
        <v>0.85</v>
      </c>
      <c r="P50" s="197">
        <v>6.4000000000000001E-2</v>
      </c>
      <c r="Q50" s="204">
        <f>'2.2 Nbre (densité) acc.'!$D$31</f>
        <v>1.8305478482016908</v>
      </c>
      <c r="R50" s="194">
        <f>'2.3 Gravité des accidents'!$D$23</f>
        <v>6.25E-2</v>
      </c>
      <c r="S50">
        <v>3000</v>
      </c>
    </row>
    <row r="51" spans="1:19">
      <c r="A51" s="50" t="s">
        <v>963</v>
      </c>
      <c r="B51" s="47" t="s">
        <v>964</v>
      </c>
      <c r="C51" s="47" t="s">
        <v>965</v>
      </c>
      <c r="D51" s="47" t="s">
        <v>966</v>
      </c>
      <c r="E51" s="47" t="s">
        <v>967</v>
      </c>
      <c r="F51" s="50" t="s">
        <v>968</v>
      </c>
      <c r="G51" s="47" t="s">
        <v>671</v>
      </c>
      <c r="H51" s="51" t="s">
        <v>969</v>
      </c>
      <c r="I51" s="50" t="s">
        <v>970</v>
      </c>
      <c r="J51" s="50" t="s">
        <v>971</v>
      </c>
      <c r="K51" s="50" t="s">
        <v>972</v>
      </c>
      <c r="L51" s="50" t="s">
        <v>973</v>
      </c>
      <c r="M51" s="189" t="str">
        <f t="shared" si="0"/>
        <v>en localité----route secondaireguidage ouvertouiouiouibande cyclable-</v>
      </c>
      <c r="N51" s="52">
        <f>1.74*10^-3</f>
        <v>1.74E-3</v>
      </c>
      <c r="O51" s="50">
        <v>0.85</v>
      </c>
      <c r="P51" s="197">
        <v>7.2999999999999995E-2</v>
      </c>
      <c r="Q51" s="204">
        <f>'2.2 Nbre (densité) acc.'!$D$31</f>
        <v>1.8305478482016908</v>
      </c>
      <c r="R51" s="194">
        <f>'2.3 Gravité des accidents'!$D$23</f>
        <v>6.25E-2</v>
      </c>
      <c r="S51">
        <v>2000</v>
      </c>
    </row>
    <row r="52" spans="1:19">
      <c r="A52" s="50" t="s">
        <v>974</v>
      </c>
      <c r="B52" s="47" t="s">
        <v>975</v>
      </c>
      <c r="C52" s="47" t="s">
        <v>976</v>
      </c>
      <c r="D52" s="47" t="s">
        <v>977</v>
      </c>
      <c r="E52" s="47" t="s">
        <v>978</v>
      </c>
      <c r="F52" s="50" t="s">
        <v>979</v>
      </c>
      <c r="G52" s="47" t="s">
        <v>671</v>
      </c>
      <c r="H52" s="51" t="s">
        <v>980</v>
      </c>
      <c r="I52" s="50" t="s">
        <v>981</v>
      </c>
      <c r="J52" s="50" t="s">
        <v>982</v>
      </c>
      <c r="K52" s="50" t="s">
        <v>983</v>
      </c>
      <c r="L52" s="50" t="s">
        <v>984</v>
      </c>
      <c r="M52" s="189" t="str">
        <f t="shared" si="0"/>
        <v>en localité----route secondaireguidage ouvertouiouiouipiste cyclable-</v>
      </c>
      <c r="N52" s="52">
        <f>1.63*10^-3</f>
        <v>1.6299999999999999E-3</v>
      </c>
      <c r="O52" s="50">
        <v>0.85</v>
      </c>
      <c r="P52" s="197">
        <v>7.2999999999999995E-2</v>
      </c>
      <c r="Q52" s="204">
        <f>'2.2 Nbre (densité) acc.'!$D$31</f>
        <v>1.8305478482016908</v>
      </c>
      <c r="R52" s="194">
        <f>'2.3 Gravité des accidents'!$D$23</f>
        <v>6.25E-2</v>
      </c>
      <c r="S52">
        <v>3500</v>
      </c>
    </row>
    <row r="53" spans="1:19">
      <c r="A53" s="50" t="s">
        <v>985</v>
      </c>
      <c r="B53" s="47" t="s">
        <v>986</v>
      </c>
      <c r="C53" s="47" t="s">
        <v>987</v>
      </c>
      <c r="D53" s="47" t="s">
        <v>988</v>
      </c>
      <c r="E53" s="47" t="s">
        <v>989</v>
      </c>
      <c r="F53" s="50" t="s">
        <v>990</v>
      </c>
      <c r="G53" s="47" t="s">
        <v>671</v>
      </c>
      <c r="H53" s="51" t="s">
        <v>991</v>
      </c>
      <c r="I53" s="50" t="s">
        <v>992</v>
      </c>
      <c r="J53" s="50" t="s">
        <v>993</v>
      </c>
      <c r="K53" s="50" t="s">
        <v>994</v>
      </c>
      <c r="L53" s="50" t="s">
        <v>995</v>
      </c>
      <c r="M53" s="189" t="str">
        <f t="shared" si="0"/>
        <v>en localité----route secondaireguidage ouvertouiouinonsans-</v>
      </c>
      <c r="N53" s="52">
        <f>9.82*10^-4</f>
        <v>9.8200000000000002E-4</v>
      </c>
      <c r="O53" s="50">
        <v>0.85</v>
      </c>
      <c r="P53" s="197">
        <v>6.4000000000000001E-2</v>
      </c>
      <c r="Q53" s="204">
        <f>'2.2 Nbre (densité) acc.'!$D$31</f>
        <v>1.8305478482016908</v>
      </c>
      <c r="R53" s="194">
        <f>'2.3 Gravité des accidents'!$D$23</f>
        <v>6.25E-2</v>
      </c>
      <c r="S53">
        <v>3000</v>
      </c>
    </row>
    <row r="54" spans="1:19">
      <c r="A54" s="50" t="s">
        <v>996</v>
      </c>
      <c r="B54" s="47" t="s">
        <v>997</v>
      </c>
      <c r="C54" s="47" t="s">
        <v>998</v>
      </c>
      <c r="D54" s="47" t="s">
        <v>999</v>
      </c>
      <c r="E54" s="47" t="s">
        <v>1000</v>
      </c>
      <c r="F54" s="50" t="s">
        <v>1001</v>
      </c>
      <c r="G54" s="47" t="s">
        <v>671</v>
      </c>
      <c r="H54" s="51" t="s">
        <v>1002</v>
      </c>
      <c r="I54" s="50" t="s">
        <v>1003</v>
      </c>
      <c r="J54" s="50" t="s">
        <v>1004</v>
      </c>
      <c r="K54" s="50" t="s">
        <v>1005</v>
      </c>
      <c r="L54" s="50" t="s">
        <v>1006</v>
      </c>
      <c r="M54" s="189" t="str">
        <f t="shared" si="0"/>
        <v>en localité----route secondaireguidage ouvertouiouinonbande cyclable-</v>
      </c>
      <c r="N54" s="52">
        <f>1.16*10^-3</f>
        <v>1.16E-3</v>
      </c>
      <c r="O54" s="50">
        <v>0.85</v>
      </c>
      <c r="P54" s="197">
        <v>7.2999999999999995E-2</v>
      </c>
      <c r="Q54" s="204">
        <f>'2.2 Nbre (densité) acc.'!$D$31</f>
        <v>1.8305478482016908</v>
      </c>
      <c r="R54" s="194">
        <f>'2.3 Gravité des accidents'!$D$23</f>
        <v>6.25E-2</v>
      </c>
      <c r="S54">
        <v>2000</v>
      </c>
    </row>
    <row r="55" spans="1:19">
      <c r="A55" s="50" t="s">
        <v>1007</v>
      </c>
      <c r="B55" s="47" t="s">
        <v>1008</v>
      </c>
      <c r="C55" s="47" t="s">
        <v>1009</v>
      </c>
      <c r="D55" s="47" t="s">
        <v>1010</v>
      </c>
      <c r="E55" s="47" t="s">
        <v>1011</v>
      </c>
      <c r="F55" s="50" t="s">
        <v>1012</v>
      </c>
      <c r="G55" s="47" t="s">
        <v>671</v>
      </c>
      <c r="H55" s="51" t="s">
        <v>1013</v>
      </c>
      <c r="I55" s="50" t="s">
        <v>1014</v>
      </c>
      <c r="J55" s="50" t="s">
        <v>1015</v>
      </c>
      <c r="K55" s="50" t="s">
        <v>1016</v>
      </c>
      <c r="L55" s="50" t="s">
        <v>1017</v>
      </c>
      <c r="M55" s="189" t="str">
        <f t="shared" si="0"/>
        <v>en localité----route secondaireguidage ouvertouiouinonpiste cyclable-</v>
      </c>
      <c r="N55" s="52">
        <f>1.09*10^-3</f>
        <v>1.09E-3</v>
      </c>
      <c r="O55" s="50">
        <v>0.85</v>
      </c>
      <c r="P55" s="197">
        <v>7.2999999999999995E-2</v>
      </c>
      <c r="Q55" s="204">
        <f>'2.2 Nbre (densité) acc.'!$D$31</f>
        <v>1.8305478482016908</v>
      </c>
      <c r="R55" s="194">
        <f>'2.3 Gravité des accidents'!$D$23</f>
        <v>6.25E-2</v>
      </c>
      <c r="S55">
        <v>3500</v>
      </c>
    </row>
    <row r="56" spans="1:19">
      <c r="A56" s="50" t="s">
        <v>1018</v>
      </c>
      <c r="B56" s="47" t="s">
        <v>1019</v>
      </c>
      <c r="C56" s="47" t="s">
        <v>1020</v>
      </c>
      <c r="D56" s="47" t="s">
        <v>1021</v>
      </c>
      <c r="E56" s="47" t="s">
        <v>1022</v>
      </c>
      <c r="F56" s="50" t="s">
        <v>1023</v>
      </c>
      <c r="G56" s="47" t="s">
        <v>671</v>
      </c>
      <c r="H56" s="51" t="s">
        <v>1024</v>
      </c>
      <c r="I56" s="50" t="s">
        <v>1025</v>
      </c>
      <c r="J56" s="50" t="s">
        <v>1026</v>
      </c>
      <c r="K56" s="50" t="s">
        <v>1027</v>
      </c>
      <c r="L56" s="50" t="s">
        <v>1028</v>
      </c>
      <c r="M56" s="189" t="str">
        <f t="shared" si="0"/>
        <v>en localité----route secondaireguidage ouvertouinonouisans-</v>
      </c>
      <c r="N56" s="52">
        <f>5.79*10^-4</f>
        <v>5.7899999999999998E-4</v>
      </c>
      <c r="O56" s="50">
        <v>0.85</v>
      </c>
      <c r="P56" s="197">
        <v>5.3999999999999999E-2</v>
      </c>
      <c r="Q56" s="204">
        <f>'2.2 Nbre (densité) acc.'!$D$31</f>
        <v>1.8305478482016908</v>
      </c>
      <c r="R56" s="194">
        <f>'2.3 Gravité des accidents'!$D$23</f>
        <v>6.25E-2</v>
      </c>
      <c r="S56">
        <v>4000</v>
      </c>
    </row>
    <row r="57" spans="1:19">
      <c r="A57" s="50" t="s">
        <v>1029</v>
      </c>
      <c r="B57" s="47" t="s">
        <v>1030</v>
      </c>
      <c r="C57" s="47" t="s">
        <v>1031</v>
      </c>
      <c r="D57" s="47" t="s">
        <v>1032</v>
      </c>
      <c r="E57" s="47" t="s">
        <v>1033</v>
      </c>
      <c r="F57" s="50" t="s">
        <v>1034</v>
      </c>
      <c r="G57" s="47" t="s">
        <v>671</v>
      </c>
      <c r="H57" s="51" t="s">
        <v>1035</v>
      </c>
      <c r="I57" s="50" t="s">
        <v>1036</v>
      </c>
      <c r="J57" s="50" t="s">
        <v>1037</v>
      </c>
      <c r="K57" s="50" t="s">
        <v>1038</v>
      </c>
      <c r="L57" s="50" t="s">
        <v>1039</v>
      </c>
      <c r="M57" s="189" t="str">
        <f t="shared" si="0"/>
        <v>en localité----route secondaireguidage ouvertouinonouibande cyclable-</v>
      </c>
      <c r="N57" s="52">
        <f>6.86*10^-4</f>
        <v>6.8600000000000009E-4</v>
      </c>
      <c r="O57" s="50">
        <v>0.85</v>
      </c>
      <c r="P57" s="197">
        <v>6.0999999999999999E-2</v>
      </c>
      <c r="Q57" s="204">
        <f>'2.2 Nbre (densité) acc.'!$D$31</f>
        <v>1.8305478482016908</v>
      </c>
      <c r="R57" s="194">
        <f>'2.3 Gravité des accidents'!$D$23</f>
        <v>6.25E-2</v>
      </c>
      <c r="S57">
        <v>2500</v>
      </c>
    </row>
    <row r="58" spans="1:19">
      <c r="A58" s="50" t="s">
        <v>1040</v>
      </c>
      <c r="B58" s="47" t="s">
        <v>1041</v>
      </c>
      <c r="C58" s="47" t="s">
        <v>1042</v>
      </c>
      <c r="D58" s="47" t="s">
        <v>1043</v>
      </c>
      <c r="E58" s="47" t="s">
        <v>1044</v>
      </c>
      <c r="F58" s="50" t="s">
        <v>1045</v>
      </c>
      <c r="G58" s="47" t="s">
        <v>671</v>
      </c>
      <c r="H58" s="51" t="s">
        <v>1046</v>
      </c>
      <c r="I58" s="50" t="s">
        <v>1047</v>
      </c>
      <c r="J58" s="50" t="s">
        <v>1048</v>
      </c>
      <c r="K58" s="50" t="s">
        <v>1049</v>
      </c>
      <c r="L58" s="50" t="s">
        <v>1050</v>
      </c>
      <c r="M58" s="189" t="str">
        <f t="shared" si="0"/>
        <v>en localité----route secondaireguidage ouvertouinonouipiste cyclable-</v>
      </c>
      <c r="N58" s="52">
        <f>6.41*10^-4</f>
        <v>6.4100000000000008E-4</v>
      </c>
      <c r="O58" s="50">
        <v>0.85</v>
      </c>
      <c r="P58" s="197">
        <v>6.0999999999999999E-2</v>
      </c>
      <c r="Q58" s="204">
        <f>'2.2 Nbre (densité) acc.'!$D$31</f>
        <v>1.8305478482016908</v>
      </c>
      <c r="R58" s="194">
        <f>'2.3 Gravité des accidents'!$D$23</f>
        <v>6.25E-2</v>
      </c>
      <c r="S58">
        <v>4500</v>
      </c>
    </row>
    <row r="59" spans="1:19">
      <c r="A59" s="50" t="s">
        <v>1051</v>
      </c>
      <c r="B59" s="47" t="s">
        <v>1052</v>
      </c>
      <c r="C59" s="47" t="s">
        <v>1053</v>
      </c>
      <c r="D59" s="47" t="s">
        <v>1054</v>
      </c>
      <c r="E59" s="47" t="s">
        <v>1055</v>
      </c>
      <c r="F59" s="50" t="s">
        <v>1056</v>
      </c>
      <c r="G59" s="47" t="s">
        <v>671</v>
      </c>
      <c r="H59" s="51" t="s">
        <v>1057</v>
      </c>
      <c r="I59" s="50" t="s">
        <v>1058</v>
      </c>
      <c r="J59" s="50" t="s">
        <v>1059</v>
      </c>
      <c r="K59" s="50" t="s">
        <v>1060</v>
      </c>
      <c r="L59" s="50" t="s">
        <v>1061</v>
      </c>
      <c r="M59" s="189" t="str">
        <f t="shared" si="0"/>
        <v>en localité----route secondaireguidage ouvertouinonnonsans-</v>
      </c>
      <c r="N59" s="52">
        <f>3.87*10^-4</f>
        <v>3.8700000000000003E-4</v>
      </c>
      <c r="O59" s="50">
        <v>0.85</v>
      </c>
      <c r="P59" s="197">
        <v>5.3999999999999999E-2</v>
      </c>
      <c r="Q59" s="204">
        <f>'2.2 Nbre (densité) acc.'!$D$31</f>
        <v>1.8305478482016908</v>
      </c>
      <c r="R59" s="194">
        <f>'2.3 Gravité des accidents'!$D$23</f>
        <v>6.25E-2</v>
      </c>
      <c r="S59">
        <v>4000</v>
      </c>
    </row>
    <row r="60" spans="1:19">
      <c r="A60" s="50" t="s">
        <v>1062</v>
      </c>
      <c r="B60" s="47" t="s">
        <v>1063</v>
      </c>
      <c r="C60" s="47" t="s">
        <v>1064</v>
      </c>
      <c r="D60" s="47" t="s">
        <v>1065</v>
      </c>
      <c r="E60" s="47" t="s">
        <v>1066</v>
      </c>
      <c r="F60" s="50" t="s">
        <v>1067</v>
      </c>
      <c r="G60" s="47" t="s">
        <v>671</v>
      </c>
      <c r="H60" s="51" t="s">
        <v>1068</v>
      </c>
      <c r="I60" s="50" t="s">
        <v>1069</v>
      </c>
      <c r="J60" s="50" t="s">
        <v>1070</v>
      </c>
      <c r="K60" s="50" t="s">
        <v>1071</v>
      </c>
      <c r="L60" s="50" t="s">
        <v>1072</v>
      </c>
      <c r="M60" s="189" t="str">
        <f t="shared" si="0"/>
        <v>en localité----route secondaireguidage ouvertouinonnonbande cyclable-</v>
      </c>
      <c r="N60" s="52">
        <f>4.59*10^-4</f>
        <v>4.5899999999999999E-4</v>
      </c>
      <c r="O60" s="50">
        <v>0.85</v>
      </c>
      <c r="P60" s="197">
        <v>6.0999999999999999E-2</v>
      </c>
      <c r="Q60" s="204">
        <f>'2.2 Nbre (densité) acc.'!$D$31</f>
        <v>1.8305478482016908</v>
      </c>
      <c r="R60" s="194">
        <f>'2.3 Gravité des accidents'!$D$23</f>
        <v>6.25E-2</v>
      </c>
      <c r="S60">
        <v>2500</v>
      </c>
    </row>
    <row r="61" spans="1:19">
      <c r="A61" s="50" t="s">
        <v>1073</v>
      </c>
      <c r="B61" s="47" t="s">
        <v>1074</v>
      </c>
      <c r="C61" s="47" t="s">
        <v>1075</v>
      </c>
      <c r="D61" s="47" t="s">
        <v>1076</v>
      </c>
      <c r="E61" s="47" t="s">
        <v>1077</v>
      </c>
      <c r="F61" s="50" t="s">
        <v>1078</v>
      </c>
      <c r="G61" s="47" t="s">
        <v>671</v>
      </c>
      <c r="H61" s="51" t="s">
        <v>1079</v>
      </c>
      <c r="I61" s="50" t="s">
        <v>1080</v>
      </c>
      <c r="J61" s="50" t="s">
        <v>1081</v>
      </c>
      <c r="K61" s="50" t="s">
        <v>1082</v>
      </c>
      <c r="L61" s="50" t="s">
        <v>1083</v>
      </c>
      <c r="M61" s="189" t="str">
        <f t="shared" si="0"/>
        <v>en localité----route secondaireguidage ouvertouinonnonpiste cyclable-</v>
      </c>
      <c r="N61" s="52">
        <f>4.29*10^-4</f>
        <v>4.2900000000000002E-4</v>
      </c>
      <c r="O61" s="50">
        <v>0.85</v>
      </c>
      <c r="P61" s="197">
        <v>6.0999999999999999E-2</v>
      </c>
      <c r="Q61" s="204">
        <f>'2.2 Nbre (densité) acc.'!$D$31</f>
        <v>1.8305478482016908</v>
      </c>
      <c r="R61" s="194">
        <f>'2.3 Gravité des accidents'!$D$23</f>
        <v>6.25E-2</v>
      </c>
      <c r="S61">
        <v>4500</v>
      </c>
    </row>
    <row r="62" spans="1:19">
      <c r="A62" s="50" t="s">
        <v>1084</v>
      </c>
      <c r="B62" s="47" t="s">
        <v>1085</v>
      </c>
      <c r="C62" s="47" t="s">
        <v>1086</v>
      </c>
      <c r="D62" s="47" t="s">
        <v>1087</v>
      </c>
      <c r="E62" s="47" t="s">
        <v>1088</v>
      </c>
      <c r="F62" s="50" t="s">
        <v>1089</v>
      </c>
      <c r="G62" s="47" t="s">
        <v>671</v>
      </c>
      <c r="H62" s="51" t="s">
        <v>1090</v>
      </c>
      <c r="I62" s="50" t="s">
        <v>1091</v>
      </c>
      <c r="J62" s="50" t="s">
        <v>1092</v>
      </c>
      <c r="K62" s="50" t="s">
        <v>1093</v>
      </c>
      <c r="L62" s="50" t="s">
        <v>1094</v>
      </c>
      <c r="M62" s="189" t="str">
        <f t="shared" si="0"/>
        <v>en localité----route secondaireguidage ouvertnonouiouisans-</v>
      </c>
      <c r="N62" s="52">
        <f>1.07*10^-3</f>
        <v>1.07E-3</v>
      </c>
      <c r="O62" s="50">
        <v>0.85</v>
      </c>
      <c r="P62" s="197">
        <v>3.7999999999999999E-2</v>
      </c>
      <c r="Q62" s="204">
        <f>'2.2 Nbre (densité) acc.'!$D$31</f>
        <v>1.8305478482016908</v>
      </c>
      <c r="R62" s="194">
        <f>'2.3 Gravité des accidents'!$D$23</f>
        <v>6.25E-2</v>
      </c>
      <c r="S62">
        <v>4000</v>
      </c>
    </row>
    <row r="63" spans="1:19">
      <c r="A63" s="50" t="s">
        <v>1095</v>
      </c>
      <c r="B63" s="47" t="s">
        <v>1096</v>
      </c>
      <c r="C63" s="47" t="s">
        <v>1097</v>
      </c>
      <c r="D63" s="47" t="s">
        <v>1098</v>
      </c>
      <c r="E63" s="47" t="s">
        <v>1099</v>
      </c>
      <c r="F63" s="50" t="s">
        <v>1100</v>
      </c>
      <c r="G63" s="47" t="s">
        <v>671</v>
      </c>
      <c r="H63" s="51" t="s">
        <v>1101</v>
      </c>
      <c r="I63" s="50" t="s">
        <v>1102</v>
      </c>
      <c r="J63" s="50" t="s">
        <v>1103</v>
      </c>
      <c r="K63" s="50" t="s">
        <v>1104</v>
      </c>
      <c r="L63" s="50" t="s">
        <v>1105</v>
      </c>
      <c r="M63" s="189" t="str">
        <f t="shared" si="0"/>
        <v>en localité----route secondaireguidage ouvertnonouiouibande cyclable-</v>
      </c>
      <c r="N63" s="52">
        <f>1.27*10^-3</f>
        <v>1.2700000000000001E-3</v>
      </c>
      <c r="O63" s="50">
        <v>0.85</v>
      </c>
      <c r="P63" s="197">
        <v>3.4000000000000002E-2</v>
      </c>
      <c r="Q63" s="204">
        <f>'2.2 Nbre (densité) acc.'!$D$31</f>
        <v>1.8305478482016908</v>
      </c>
      <c r="R63" s="194">
        <f>'2.3 Gravité des accidents'!$D$23</f>
        <v>6.25E-2</v>
      </c>
      <c r="S63">
        <v>2500</v>
      </c>
    </row>
    <row r="64" spans="1:19">
      <c r="A64" s="50" t="s">
        <v>1106</v>
      </c>
      <c r="B64" s="47" t="s">
        <v>1107</v>
      </c>
      <c r="C64" s="47" t="s">
        <v>1108</v>
      </c>
      <c r="D64" s="47" t="s">
        <v>1109</v>
      </c>
      <c r="E64" s="47" t="s">
        <v>1110</v>
      </c>
      <c r="F64" s="50" t="s">
        <v>1111</v>
      </c>
      <c r="G64" s="47" t="s">
        <v>671</v>
      </c>
      <c r="H64" s="51" t="s">
        <v>1112</v>
      </c>
      <c r="I64" s="50" t="s">
        <v>1113</v>
      </c>
      <c r="J64" s="50" t="s">
        <v>1114</v>
      </c>
      <c r="K64" s="50" t="s">
        <v>1115</v>
      </c>
      <c r="L64" s="50" t="s">
        <v>1116</v>
      </c>
      <c r="M64" s="189" t="str">
        <f t="shared" si="0"/>
        <v>en localité----route secondaireguidage ouvertnonouiouipiste cyclable-</v>
      </c>
      <c r="N64" s="52">
        <f>1.18*10^-3</f>
        <v>1.1800000000000001E-3</v>
      </c>
      <c r="O64" s="50">
        <v>0.85</v>
      </c>
      <c r="P64" s="197">
        <v>3.4000000000000002E-2</v>
      </c>
      <c r="Q64" s="204">
        <f>'2.2 Nbre (densité) acc.'!$D$31</f>
        <v>1.8305478482016908</v>
      </c>
      <c r="R64" s="194">
        <f>'2.3 Gravité des accidents'!$D$23</f>
        <v>6.25E-2</v>
      </c>
      <c r="S64">
        <v>4500</v>
      </c>
    </row>
    <row r="65" spans="1:19">
      <c r="A65" s="50" t="s">
        <v>1117</v>
      </c>
      <c r="B65" s="47" t="s">
        <v>1118</v>
      </c>
      <c r="C65" s="47" t="s">
        <v>1119</v>
      </c>
      <c r="D65" s="47" t="s">
        <v>1120</v>
      </c>
      <c r="E65" s="47" t="s">
        <v>1121</v>
      </c>
      <c r="F65" s="50" t="s">
        <v>1122</v>
      </c>
      <c r="G65" s="47" t="s">
        <v>671</v>
      </c>
      <c r="H65" s="51" t="s">
        <v>1123</v>
      </c>
      <c r="I65" s="50" t="s">
        <v>1124</v>
      </c>
      <c r="J65" s="50" t="s">
        <v>1125</v>
      </c>
      <c r="K65" s="50" t="s">
        <v>1126</v>
      </c>
      <c r="L65" s="50" t="s">
        <v>1127</v>
      </c>
      <c r="M65" s="189" t="str">
        <f t="shared" si="0"/>
        <v>en localité----route secondaireguidage ouvertnonouinonsans-</v>
      </c>
      <c r="N65" s="52">
        <f>7.14*10^-4</f>
        <v>7.1400000000000001E-4</v>
      </c>
      <c r="O65" s="50">
        <v>0.85</v>
      </c>
      <c r="P65" s="197">
        <v>3.7999999999999999E-2</v>
      </c>
      <c r="Q65" s="204">
        <f>'2.2 Nbre (densité) acc.'!$D$31</f>
        <v>1.8305478482016908</v>
      </c>
      <c r="R65" s="194">
        <f>'2.3 Gravité des accidents'!$D$23</f>
        <v>6.25E-2</v>
      </c>
      <c r="S65">
        <v>4000</v>
      </c>
    </row>
    <row r="66" spans="1:19">
      <c r="A66" s="50" t="s">
        <v>1128</v>
      </c>
      <c r="B66" s="47" t="s">
        <v>1129</v>
      </c>
      <c r="C66" s="47" t="s">
        <v>1130</v>
      </c>
      <c r="D66" s="47" t="s">
        <v>1131</v>
      </c>
      <c r="E66" s="47" t="s">
        <v>1132</v>
      </c>
      <c r="F66" s="50" t="s">
        <v>1133</v>
      </c>
      <c r="G66" s="47" t="s">
        <v>671</v>
      </c>
      <c r="H66" s="51" t="s">
        <v>1134</v>
      </c>
      <c r="I66" s="50" t="s">
        <v>1135</v>
      </c>
      <c r="J66" s="50" t="s">
        <v>1136</v>
      </c>
      <c r="K66" s="50" t="s">
        <v>1137</v>
      </c>
      <c r="L66" s="50" t="s">
        <v>1138</v>
      </c>
      <c r="M66" s="189" t="str">
        <f t="shared" si="0"/>
        <v>en localité----route secondaireguidage ouvertnonouinonbande cyclable-</v>
      </c>
      <c r="N66" s="52">
        <f>8.46*10^-4</f>
        <v>8.4600000000000007E-4</v>
      </c>
      <c r="O66" s="50">
        <v>0.85</v>
      </c>
      <c r="P66" s="197">
        <v>3.4000000000000002E-2</v>
      </c>
      <c r="Q66" s="204">
        <f>'2.2 Nbre (densité) acc.'!$D$31</f>
        <v>1.8305478482016908</v>
      </c>
      <c r="R66" s="194">
        <f>'2.3 Gravité des accidents'!$D$23</f>
        <v>6.25E-2</v>
      </c>
      <c r="S66">
        <v>2500</v>
      </c>
    </row>
    <row r="67" spans="1:19">
      <c r="A67" s="50" t="s">
        <v>1139</v>
      </c>
      <c r="B67" s="47" t="s">
        <v>1140</v>
      </c>
      <c r="C67" s="47" t="s">
        <v>1141</v>
      </c>
      <c r="D67" s="47" t="s">
        <v>1142</v>
      </c>
      <c r="E67" s="47" t="s">
        <v>1143</v>
      </c>
      <c r="F67" s="50" t="s">
        <v>1144</v>
      </c>
      <c r="G67" s="47" t="s">
        <v>671</v>
      </c>
      <c r="H67" s="51" t="s">
        <v>1145</v>
      </c>
      <c r="I67" s="50" t="s">
        <v>1146</v>
      </c>
      <c r="J67" s="50" t="s">
        <v>1147</v>
      </c>
      <c r="K67" s="50" t="s">
        <v>1148</v>
      </c>
      <c r="L67" s="50" t="s">
        <v>1149</v>
      </c>
      <c r="M67" s="189" t="str">
        <f t="shared" ref="M67:M96" si="2" xml:space="preserve"> A67&amp;B67&amp;C67&amp;D67&amp;E67&amp;F67&amp;G67&amp;H67&amp;I67&amp;J67&amp;K67&amp;L67</f>
        <v>en localité----route secondaireguidage ouvertnonouinonpiste cyclable-</v>
      </c>
      <c r="N67" s="52">
        <f>7.91*10^-4</f>
        <v>7.9100000000000004E-4</v>
      </c>
      <c r="O67" s="50">
        <v>0.85</v>
      </c>
      <c r="P67" s="197">
        <v>3.4000000000000002E-2</v>
      </c>
      <c r="Q67" s="204">
        <f>'2.2 Nbre (densité) acc.'!$D$31</f>
        <v>1.8305478482016908</v>
      </c>
      <c r="R67" s="194">
        <f>'2.3 Gravité des accidents'!$D$23</f>
        <v>6.25E-2</v>
      </c>
      <c r="S67">
        <v>4500</v>
      </c>
    </row>
    <row r="68" spans="1:19">
      <c r="A68" s="50" t="s">
        <v>1150</v>
      </c>
      <c r="B68" s="47" t="s">
        <v>1151</v>
      </c>
      <c r="C68" s="47" t="s">
        <v>1152</v>
      </c>
      <c r="D68" s="47" t="s">
        <v>1153</v>
      </c>
      <c r="E68" s="47" t="s">
        <v>1154</v>
      </c>
      <c r="F68" s="50" t="s">
        <v>1155</v>
      </c>
      <c r="G68" s="47" t="s">
        <v>671</v>
      </c>
      <c r="H68" s="51" t="s">
        <v>1156</v>
      </c>
      <c r="I68" s="50" t="s">
        <v>1157</v>
      </c>
      <c r="J68" s="50" t="s">
        <v>1158</v>
      </c>
      <c r="K68" s="50" t="s">
        <v>1159</v>
      </c>
      <c r="L68" s="50" t="s">
        <v>1160</v>
      </c>
      <c r="M68" s="189" t="str">
        <f t="shared" si="2"/>
        <v>en localité----route secondaireguidage ouvertnonnonouisans-</v>
      </c>
      <c r="N68" s="52">
        <f>4.22*10^-4</f>
        <v>4.2200000000000001E-4</v>
      </c>
      <c r="O68" s="50">
        <v>0.85</v>
      </c>
      <c r="P68" s="197">
        <v>4.3999999999999997E-2</v>
      </c>
      <c r="Q68" s="204">
        <f>'2.2 Nbre (densité) acc.'!$D$31</f>
        <v>1.8305478482016908</v>
      </c>
      <c r="R68" s="194">
        <f>'2.3 Gravité des accidents'!$D$23</f>
        <v>6.25E-2</v>
      </c>
      <c r="S68">
        <v>5000</v>
      </c>
    </row>
    <row r="69" spans="1:19">
      <c r="A69" s="50" t="s">
        <v>1161</v>
      </c>
      <c r="B69" s="47" t="s">
        <v>1162</v>
      </c>
      <c r="C69" s="47" t="s">
        <v>1163</v>
      </c>
      <c r="D69" s="47" t="s">
        <v>1164</v>
      </c>
      <c r="E69" s="47" t="s">
        <v>1165</v>
      </c>
      <c r="F69" s="50" t="s">
        <v>1166</v>
      </c>
      <c r="G69" s="47" t="s">
        <v>671</v>
      </c>
      <c r="H69" s="51" t="s">
        <v>1167</v>
      </c>
      <c r="I69" s="50" t="s">
        <v>1168</v>
      </c>
      <c r="J69" s="50" t="s">
        <v>1169</v>
      </c>
      <c r="K69" s="50" t="s">
        <v>1170</v>
      </c>
      <c r="L69" s="50" t="s">
        <v>1171</v>
      </c>
      <c r="M69" s="189" t="str">
        <f t="shared" si="2"/>
        <v>en localité----route secondaireguidage ouvertnonnonouibande cyclable-</v>
      </c>
      <c r="N69" s="52">
        <f>4.99*10^-4</f>
        <v>4.9900000000000009E-4</v>
      </c>
      <c r="O69" s="50">
        <v>0.85</v>
      </c>
      <c r="P69" s="197">
        <v>3.9E-2</v>
      </c>
      <c r="Q69" s="204">
        <f>'2.2 Nbre (densité) acc.'!$D$31</f>
        <v>1.8305478482016908</v>
      </c>
      <c r="R69" s="194">
        <f>'2.3 Gravité des accidents'!$D$23</f>
        <v>6.25E-2</v>
      </c>
      <c r="S69">
        <v>3500</v>
      </c>
    </row>
    <row r="70" spans="1:19">
      <c r="A70" s="50" t="s">
        <v>1172</v>
      </c>
      <c r="B70" s="47" t="s">
        <v>1173</v>
      </c>
      <c r="C70" s="47" t="s">
        <v>1174</v>
      </c>
      <c r="D70" s="47" t="s">
        <v>1175</v>
      </c>
      <c r="E70" s="47" t="s">
        <v>1176</v>
      </c>
      <c r="F70" s="50" t="s">
        <v>1177</v>
      </c>
      <c r="G70" s="47" t="s">
        <v>671</v>
      </c>
      <c r="H70" s="51" t="s">
        <v>1178</v>
      </c>
      <c r="I70" s="50" t="s">
        <v>1179</v>
      </c>
      <c r="J70" s="50" t="s">
        <v>1180</v>
      </c>
      <c r="K70" s="50" t="s">
        <v>1181</v>
      </c>
      <c r="L70" s="50" t="s">
        <v>1182</v>
      </c>
      <c r="M70" s="189" t="str">
        <f t="shared" si="2"/>
        <v>en localité----route secondaireguidage ouvertnonnonouipiste cyclable-</v>
      </c>
      <c r="N70" s="52">
        <f>4.67*10^-4</f>
        <v>4.6700000000000002E-4</v>
      </c>
      <c r="O70" s="50">
        <v>0.85</v>
      </c>
      <c r="P70" s="197">
        <v>3.9E-2</v>
      </c>
      <c r="Q70" s="204">
        <f>'2.2 Nbre (densité) acc.'!$D$31</f>
        <v>1.8305478482016908</v>
      </c>
      <c r="R70" s="194">
        <f>'2.3 Gravité des accidents'!$D$23</f>
        <v>6.25E-2</v>
      </c>
      <c r="S70">
        <v>5500</v>
      </c>
    </row>
    <row r="71" spans="1:19">
      <c r="A71" s="50" t="s">
        <v>1183</v>
      </c>
      <c r="B71" s="47" t="s">
        <v>1184</v>
      </c>
      <c r="C71" s="47" t="s">
        <v>1185</v>
      </c>
      <c r="D71" s="47" t="s">
        <v>1186</v>
      </c>
      <c r="E71" s="47" t="s">
        <v>1187</v>
      </c>
      <c r="F71" s="50" t="s">
        <v>1188</v>
      </c>
      <c r="G71" s="47" t="s">
        <v>671</v>
      </c>
      <c r="H71" s="51" t="s">
        <v>1189</v>
      </c>
      <c r="I71" s="50" t="s">
        <v>1190</v>
      </c>
      <c r="J71" s="50" t="s">
        <v>1191</v>
      </c>
      <c r="K71" s="50" t="s">
        <v>1192</v>
      </c>
      <c r="L71" s="50" t="s">
        <v>1193</v>
      </c>
      <c r="M71" s="189" t="str">
        <f t="shared" si="2"/>
        <v>en localité----route secondaireguidage ouvertnonnonnonsans-</v>
      </c>
      <c r="N71" s="52">
        <f>2.82*10^-4</f>
        <v>2.8200000000000002E-4</v>
      </c>
      <c r="O71" s="50">
        <v>0.85</v>
      </c>
      <c r="P71" s="197">
        <v>4.3999999999999997E-2</v>
      </c>
      <c r="Q71" s="204">
        <f>'2.2 Nbre (densité) acc.'!$D$31</f>
        <v>1.8305478482016908</v>
      </c>
      <c r="R71" s="194">
        <f>'2.3 Gravité des accidents'!$D$23</f>
        <v>6.25E-2</v>
      </c>
      <c r="S71">
        <v>5000</v>
      </c>
    </row>
    <row r="72" spans="1:19">
      <c r="A72" s="50" t="s">
        <v>1194</v>
      </c>
      <c r="B72" s="47" t="s">
        <v>1195</v>
      </c>
      <c r="C72" s="47" t="s">
        <v>1196</v>
      </c>
      <c r="D72" s="47" t="s">
        <v>1197</v>
      </c>
      <c r="E72" s="47" t="s">
        <v>1198</v>
      </c>
      <c r="F72" s="50" t="s">
        <v>1199</v>
      </c>
      <c r="G72" s="47" t="s">
        <v>671</v>
      </c>
      <c r="H72" s="51" t="s">
        <v>1200</v>
      </c>
      <c r="I72" s="50" t="s">
        <v>1201</v>
      </c>
      <c r="J72" s="50" t="s">
        <v>1202</v>
      </c>
      <c r="K72" s="50" t="s">
        <v>1203</v>
      </c>
      <c r="L72" s="50" t="s">
        <v>1204</v>
      </c>
      <c r="M72" s="189" t="str">
        <f t="shared" si="2"/>
        <v>en localité----route secondaireguidage ouvertnonnonnonbande cyclable-</v>
      </c>
      <c r="N72" s="52">
        <f>3.34*10^-4</f>
        <v>3.3399999999999999E-4</v>
      </c>
      <c r="O72" s="50">
        <v>0.85</v>
      </c>
      <c r="P72" s="197">
        <v>3.9E-2</v>
      </c>
      <c r="Q72" s="204">
        <f>'2.2 Nbre (densité) acc.'!$D$31</f>
        <v>1.8305478482016908</v>
      </c>
      <c r="R72" s="194">
        <f>'2.3 Gravité des accidents'!$D$23</f>
        <v>6.25E-2</v>
      </c>
      <c r="S72">
        <v>3500</v>
      </c>
    </row>
    <row r="73" spans="1:19">
      <c r="A73" s="50" t="s">
        <v>1205</v>
      </c>
      <c r="B73" s="47" t="s">
        <v>1206</v>
      </c>
      <c r="C73" s="47" t="s">
        <v>1207</v>
      </c>
      <c r="D73" s="47" t="s">
        <v>1208</v>
      </c>
      <c r="E73" s="47" t="s">
        <v>1209</v>
      </c>
      <c r="F73" s="50" t="s">
        <v>1210</v>
      </c>
      <c r="G73" s="47" t="s">
        <v>671</v>
      </c>
      <c r="H73" s="51" t="s">
        <v>1211</v>
      </c>
      <c r="I73" s="50" t="s">
        <v>1212</v>
      </c>
      <c r="J73" s="50" t="s">
        <v>1213</v>
      </c>
      <c r="K73" s="50" t="s">
        <v>1214</v>
      </c>
      <c r="L73" s="50" t="s">
        <v>1215</v>
      </c>
      <c r="M73" s="189" t="str">
        <f t="shared" si="2"/>
        <v>en localité----route secondaireguidage ouvertnonnonnonpiste cyclable-</v>
      </c>
      <c r="N73" s="52">
        <f>3.12*10^-4</f>
        <v>3.1200000000000005E-4</v>
      </c>
      <c r="O73" s="50">
        <v>0.85</v>
      </c>
      <c r="P73" s="197">
        <v>3.9E-2</v>
      </c>
      <c r="Q73" s="204">
        <f>'2.2 Nbre (densité) acc.'!$D$31</f>
        <v>1.8305478482016908</v>
      </c>
      <c r="R73" s="194">
        <f>'2.3 Gravité des accidents'!$D$23</f>
        <v>6.25E-2</v>
      </c>
      <c r="S73">
        <v>5500</v>
      </c>
    </row>
    <row r="74" spans="1:19">
      <c r="A74" s="50" t="s">
        <v>1216</v>
      </c>
      <c r="B74" s="47" t="s">
        <v>1217</v>
      </c>
      <c r="C74" s="47" t="s">
        <v>1218</v>
      </c>
      <c r="D74" s="47" t="s">
        <v>1219</v>
      </c>
      <c r="E74" s="47" t="s">
        <v>1220</v>
      </c>
      <c r="F74" s="22" t="s">
        <v>256</v>
      </c>
      <c r="G74" s="47" t="s">
        <v>671</v>
      </c>
      <c r="H74" s="60" t="s">
        <v>1221</v>
      </c>
      <c r="I74" s="22" t="s">
        <v>1222</v>
      </c>
      <c r="J74" s="22" t="s">
        <v>1223</v>
      </c>
      <c r="K74" s="22" t="s">
        <v>1224</v>
      </c>
      <c r="L74" s="22" t="s">
        <v>1225</v>
      </c>
      <c r="M74" s="189" t="str">
        <f t="shared" si="2"/>
        <v>en localité-----guidage ouvert-----</v>
      </c>
      <c r="N74" s="61">
        <f>9.25*10^-5</f>
        <v>9.2500000000000012E-5</v>
      </c>
      <c r="O74" s="22">
        <v>0.92</v>
      </c>
      <c r="P74" s="198">
        <v>4.2999999999999997E-2</v>
      </c>
      <c r="Q74" s="204">
        <f>'2.2 Nbre (densité) acc.'!$D$31</f>
        <v>1.8305478482016908</v>
      </c>
      <c r="R74" s="194">
        <f>'2.3 Gravité des accidents'!$D$23</f>
        <v>6.25E-2</v>
      </c>
      <c r="S74">
        <v>10000</v>
      </c>
    </row>
    <row r="75" spans="1:19" hidden="1">
      <c r="A75" s="53" t="s">
        <v>1226</v>
      </c>
      <c r="B75" s="53" t="s">
        <v>1227</v>
      </c>
      <c r="C75" s="53" t="s">
        <v>1228</v>
      </c>
      <c r="D75" s="53" t="s">
        <v>1229</v>
      </c>
      <c r="E75" s="53" t="s">
        <v>1230</v>
      </c>
      <c r="F75" s="53" t="s">
        <v>1231</v>
      </c>
      <c r="G75" s="47" t="s">
        <v>671</v>
      </c>
      <c r="H75" s="53" t="s">
        <v>1232</v>
      </c>
      <c r="I75" s="53" t="s">
        <v>1233</v>
      </c>
      <c r="J75" s="53" t="s">
        <v>1234</v>
      </c>
      <c r="K75" s="53" t="s">
        <v>1235</v>
      </c>
      <c r="L75" s="53" t="s">
        <v>1236</v>
      </c>
      <c r="M75" s="189" t="str">
        <f t="shared" si="2"/>
        <v>ausserorts----Hauptstrasseguidage ouvertja--Ohne-</v>
      </c>
      <c r="N75" s="55">
        <f>1.81*10^-3</f>
        <v>1.8100000000000002E-3</v>
      </c>
      <c r="O75" s="53">
        <v>0.61</v>
      </c>
      <c r="P75" s="199">
        <v>7.0000000000000007E-2</v>
      </c>
      <c r="Q75" s="204">
        <f>'2.2 Nbre (densité) acc.'!$E$13</f>
        <v>0.76086371289166055</v>
      </c>
      <c r="R75" s="194">
        <f>'2.3 Gravité des accidents'!$E$11</f>
        <v>6.8499999999999991E-2</v>
      </c>
      <c r="S75">
        <v>18000</v>
      </c>
    </row>
    <row r="76" spans="1:19" hidden="1">
      <c r="A76" s="53" t="s">
        <v>1237</v>
      </c>
      <c r="B76" s="53" t="s">
        <v>1238</v>
      </c>
      <c r="C76" s="53" t="s">
        <v>1239</v>
      </c>
      <c r="D76" s="53" t="s">
        <v>1240</v>
      </c>
      <c r="E76" s="53" t="s">
        <v>1241</v>
      </c>
      <c r="F76" s="53" t="s">
        <v>1242</v>
      </c>
      <c r="G76" s="47" t="s">
        <v>671</v>
      </c>
      <c r="H76" s="53" t="s">
        <v>1243</v>
      </c>
      <c r="I76" s="53" t="s">
        <v>1244</v>
      </c>
      <c r="J76" s="53" t="s">
        <v>1245</v>
      </c>
      <c r="K76" s="53" t="s">
        <v>1246</v>
      </c>
      <c r="L76" s="53" t="s">
        <v>1247</v>
      </c>
      <c r="M76" s="189" t="str">
        <f t="shared" si="2"/>
        <v>ausserorts----Hauptstrasseguidage ouvertja--Radstreifen-</v>
      </c>
      <c r="N76" s="55">
        <f t="shared" ref="N76:N80" si="3">1.81*10^-3</f>
        <v>1.8100000000000002E-3</v>
      </c>
      <c r="O76" s="53">
        <v>0.61</v>
      </c>
      <c r="P76" s="199">
        <v>0.06</v>
      </c>
      <c r="Q76" s="204">
        <f>'2.2 Nbre (densité) acc.'!$E$13</f>
        <v>0.76086371289166055</v>
      </c>
      <c r="R76" s="194">
        <f>'2.3 Gravité des accidents'!$E$11</f>
        <v>6.8499999999999991E-2</v>
      </c>
      <c r="S76">
        <v>18000</v>
      </c>
    </row>
    <row r="77" spans="1:19" hidden="1">
      <c r="A77" s="53" t="s">
        <v>1248</v>
      </c>
      <c r="B77" s="53" t="s">
        <v>1249</v>
      </c>
      <c r="C77" s="53" t="s">
        <v>1250</v>
      </c>
      <c r="D77" s="53" t="s">
        <v>1251</v>
      </c>
      <c r="E77" s="53" t="s">
        <v>1252</v>
      </c>
      <c r="F77" s="53" t="s">
        <v>1253</v>
      </c>
      <c r="G77" s="47" t="s">
        <v>671</v>
      </c>
      <c r="H77" s="53" t="s">
        <v>1254</v>
      </c>
      <c r="I77" s="53" t="s">
        <v>1255</v>
      </c>
      <c r="J77" s="53" t="s">
        <v>1256</v>
      </c>
      <c r="K77" s="53" t="s">
        <v>1257</v>
      </c>
      <c r="L77" s="53" t="s">
        <v>1258</v>
      </c>
      <c r="M77" s="189" t="str">
        <f t="shared" si="2"/>
        <v>ausserorts----Hauptstrasseguidage ouvertja--Radweg-</v>
      </c>
      <c r="N77" s="55">
        <f t="shared" si="3"/>
        <v>1.8100000000000002E-3</v>
      </c>
      <c r="O77" s="53">
        <v>0.61</v>
      </c>
      <c r="P77" s="199">
        <v>0.06</v>
      </c>
      <c r="Q77" s="204">
        <f>'2.2 Nbre (densité) acc.'!$E$13</f>
        <v>0.76086371289166055</v>
      </c>
      <c r="R77" s="194">
        <f>'2.3 Gravité des accidents'!$E$11</f>
        <v>6.8499999999999991E-2</v>
      </c>
      <c r="S77">
        <v>20000</v>
      </c>
    </row>
    <row r="78" spans="1:19" hidden="1">
      <c r="A78" s="53" t="s">
        <v>1259</v>
      </c>
      <c r="B78" s="53" t="s">
        <v>1260</v>
      </c>
      <c r="C78" s="53" t="s">
        <v>1261</v>
      </c>
      <c r="D78" s="53" t="s">
        <v>1262</v>
      </c>
      <c r="E78" s="53" t="s">
        <v>1263</v>
      </c>
      <c r="F78" s="53" t="s">
        <v>1264</v>
      </c>
      <c r="G78" s="47" t="s">
        <v>671</v>
      </c>
      <c r="H78" s="53" t="s">
        <v>1265</v>
      </c>
      <c r="I78" s="53" t="s">
        <v>1266</v>
      </c>
      <c r="J78" s="53" t="s">
        <v>1267</v>
      </c>
      <c r="K78" s="53" t="s">
        <v>1268</v>
      </c>
      <c r="L78" s="53" t="s">
        <v>1269</v>
      </c>
      <c r="M78" s="189" t="str">
        <f t="shared" si="2"/>
        <v>ausserorts----Hauptstrasseguidage ouvertnein--Ohne-</v>
      </c>
      <c r="N78" s="55">
        <f t="shared" si="3"/>
        <v>1.8100000000000002E-3</v>
      </c>
      <c r="O78" s="53">
        <v>0.61</v>
      </c>
      <c r="P78" s="199">
        <v>6.7000000000000004E-2</v>
      </c>
      <c r="Q78" s="204">
        <f>'2.2 Nbre (densité) acc.'!$E$13</f>
        <v>0.76086371289166055</v>
      </c>
      <c r="R78" s="194">
        <f>'2.3 Gravité des accidents'!$E$11</f>
        <v>6.8499999999999991E-2</v>
      </c>
      <c r="S78">
        <v>20000</v>
      </c>
    </row>
    <row r="79" spans="1:19" hidden="1">
      <c r="A79" s="53" t="s">
        <v>1270</v>
      </c>
      <c r="B79" s="53" t="s">
        <v>1271</v>
      </c>
      <c r="C79" s="53" t="s">
        <v>1272</v>
      </c>
      <c r="D79" s="53" t="s">
        <v>1273</v>
      </c>
      <c r="E79" s="53" t="s">
        <v>1274</v>
      </c>
      <c r="F79" s="53" t="s">
        <v>1275</v>
      </c>
      <c r="G79" s="47" t="s">
        <v>671</v>
      </c>
      <c r="H79" s="53" t="s">
        <v>1276</v>
      </c>
      <c r="I79" s="53" t="s">
        <v>1277</v>
      </c>
      <c r="J79" s="53" t="s">
        <v>1278</v>
      </c>
      <c r="K79" s="53" t="s">
        <v>1279</v>
      </c>
      <c r="L79" s="53" t="s">
        <v>1280</v>
      </c>
      <c r="M79" s="189" t="str">
        <f t="shared" si="2"/>
        <v>ausserorts----Hauptstrasseguidage ouvertnein--Radstreifen-</v>
      </c>
      <c r="N79" s="55">
        <f t="shared" si="3"/>
        <v>1.8100000000000002E-3</v>
      </c>
      <c r="O79" s="53">
        <v>0.61</v>
      </c>
      <c r="P79" s="199">
        <v>6.7000000000000004E-2</v>
      </c>
      <c r="Q79" s="204">
        <f>'2.2 Nbre (densité) acc.'!$E$13</f>
        <v>0.76086371289166055</v>
      </c>
      <c r="R79" s="194">
        <f>'2.3 Gravité des accidents'!$E$11</f>
        <v>6.8499999999999991E-2</v>
      </c>
      <c r="S79">
        <v>20000</v>
      </c>
    </row>
    <row r="80" spans="1:19" hidden="1">
      <c r="A80" s="53" t="s">
        <v>1281</v>
      </c>
      <c r="B80" s="53" t="s">
        <v>1282</v>
      </c>
      <c r="C80" s="53" t="s">
        <v>1283</v>
      </c>
      <c r="D80" s="53" t="s">
        <v>1284</v>
      </c>
      <c r="E80" s="53" t="s">
        <v>1285</v>
      </c>
      <c r="F80" s="53" t="s">
        <v>1286</v>
      </c>
      <c r="G80" s="47" t="s">
        <v>671</v>
      </c>
      <c r="H80" s="53" t="s">
        <v>1287</v>
      </c>
      <c r="I80" s="53" t="s">
        <v>1288</v>
      </c>
      <c r="J80" s="53" t="s">
        <v>1289</v>
      </c>
      <c r="K80" s="53" t="s">
        <v>1290</v>
      </c>
      <c r="L80" s="53" t="s">
        <v>1291</v>
      </c>
      <c r="M80" s="189" t="str">
        <f t="shared" si="2"/>
        <v>ausserorts----Hauptstrasseguidage ouvertnein--Radweg-</v>
      </c>
      <c r="N80" s="55">
        <f t="shared" si="3"/>
        <v>1.8100000000000002E-3</v>
      </c>
      <c r="O80" s="53">
        <v>0.61</v>
      </c>
      <c r="P80" s="199">
        <v>6.7000000000000004E-2</v>
      </c>
      <c r="Q80" s="204">
        <f>'2.2 Nbre (densité) acc.'!$E$13</f>
        <v>0.76086371289166055</v>
      </c>
      <c r="R80" s="194">
        <f>'2.3 Gravité des accidents'!$E$11</f>
        <v>6.8499999999999991E-2</v>
      </c>
      <c r="S80">
        <v>22000</v>
      </c>
    </row>
    <row r="81" spans="1:19" hidden="1">
      <c r="A81" s="53" t="s">
        <v>1292</v>
      </c>
      <c r="B81" s="53" t="s">
        <v>1293</v>
      </c>
      <c r="C81" s="53" t="s">
        <v>1294</v>
      </c>
      <c r="D81" s="53" t="s">
        <v>1295</v>
      </c>
      <c r="E81" s="53" t="s">
        <v>1296</v>
      </c>
      <c r="F81" s="22" t="s">
        <v>1297</v>
      </c>
      <c r="G81" s="47" t="s">
        <v>671</v>
      </c>
      <c r="H81" s="22" t="s">
        <v>1298</v>
      </c>
      <c r="I81" s="22" t="s">
        <v>1299</v>
      </c>
      <c r="J81" s="22" t="s">
        <v>1300</v>
      </c>
      <c r="K81" s="22" t="s">
        <v>1301</v>
      </c>
      <c r="L81" s="22" t="s">
        <v>1302</v>
      </c>
      <c r="M81" s="189" t="str">
        <f t="shared" si="2"/>
        <v>ausserorts----Hauptstrasseguidage ouvert-----</v>
      </c>
      <c r="N81" s="61">
        <f>1.3*10^-3</f>
        <v>1.3000000000000002E-3</v>
      </c>
      <c r="O81" s="22">
        <v>0.61</v>
      </c>
      <c r="P81" s="198">
        <v>4.2999999999999997E-2</v>
      </c>
      <c r="Q81" s="204">
        <f>'2.2 Nbre (densité) acc.'!$E$13</f>
        <v>0.76086371289166055</v>
      </c>
      <c r="R81" s="194">
        <f>'2.3 Gravité des accidents'!$E$11</f>
        <v>6.8499999999999991E-2</v>
      </c>
      <c r="S81">
        <v>10000</v>
      </c>
    </row>
    <row r="82" spans="1:19" hidden="1">
      <c r="A82" s="53" t="s">
        <v>1303</v>
      </c>
      <c r="B82" s="53" t="s">
        <v>1304</v>
      </c>
      <c r="C82" s="53" t="s">
        <v>1305</v>
      </c>
      <c r="D82" s="53" t="s">
        <v>1306</v>
      </c>
      <c r="E82" s="53" t="s">
        <v>1307</v>
      </c>
      <c r="F82" s="53" t="s">
        <v>1308</v>
      </c>
      <c r="G82" s="47" t="s">
        <v>671</v>
      </c>
      <c r="H82" s="53" t="s">
        <v>1309</v>
      </c>
      <c r="I82" s="53" t="s">
        <v>1310</v>
      </c>
      <c r="J82" s="53" t="s">
        <v>1311</v>
      </c>
      <c r="K82" s="53" t="s">
        <v>1312</v>
      </c>
      <c r="L82" s="53" t="s">
        <v>1313</v>
      </c>
      <c r="M82" s="189" t="str">
        <f t="shared" si="2"/>
        <v>ausserorts----Nebenstrasseguidage ouvertja--Ohne-</v>
      </c>
      <c r="N82" s="55">
        <f>1.48*10^-3</f>
        <v>1.48E-3</v>
      </c>
      <c r="O82" s="53">
        <v>0.61</v>
      </c>
      <c r="P82" s="199">
        <v>8.5000000000000006E-2</v>
      </c>
      <c r="Q82" s="204">
        <f>'2.2 Nbre (densité) acc.'!$F$13</f>
        <v>0.40762584809404889</v>
      </c>
      <c r="R82" s="194">
        <f>'2.3 Gravité des accidents'!$F$11</f>
        <v>9.1999999999999998E-2</v>
      </c>
      <c r="S82">
        <v>9000</v>
      </c>
    </row>
    <row r="83" spans="1:19" hidden="1">
      <c r="A83" s="53" t="s">
        <v>1314</v>
      </c>
      <c r="B83" s="53" t="s">
        <v>1315</v>
      </c>
      <c r="C83" s="53" t="s">
        <v>1316</v>
      </c>
      <c r="D83" s="53" t="s">
        <v>1317</v>
      </c>
      <c r="E83" s="53" t="s">
        <v>1318</v>
      </c>
      <c r="F83" s="53" t="s">
        <v>1319</v>
      </c>
      <c r="G83" s="47" t="s">
        <v>671</v>
      </c>
      <c r="H83" s="53" t="s">
        <v>1320</v>
      </c>
      <c r="I83" s="53" t="s">
        <v>1321</v>
      </c>
      <c r="J83" s="53" t="s">
        <v>1322</v>
      </c>
      <c r="K83" s="53" t="s">
        <v>1323</v>
      </c>
      <c r="L83" s="53" t="s">
        <v>1324</v>
      </c>
      <c r="M83" s="189" t="str">
        <f t="shared" si="2"/>
        <v>ausserorts----Nebenstrasseguidage ouvertja--Radstreifen-</v>
      </c>
      <c r="N83" s="55">
        <f t="shared" ref="N83:N87" si="4">1.48*10^-3</f>
        <v>1.48E-3</v>
      </c>
      <c r="O83" s="53">
        <v>0.61</v>
      </c>
      <c r="P83" s="199">
        <v>6.9000000000000006E-2</v>
      </c>
      <c r="Q83" s="204">
        <f>'2.2 Nbre (densité) acc.'!$F$13</f>
        <v>0.40762584809404889</v>
      </c>
      <c r="R83" s="194">
        <f>'2.3 Gravité des accidents'!$F$11</f>
        <v>9.1999999999999998E-2</v>
      </c>
      <c r="S83">
        <v>9000</v>
      </c>
    </row>
    <row r="84" spans="1:19" hidden="1">
      <c r="A84" s="53" t="s">
        <v>1325</v>
      </c>
      <c r="B84" s="53" t="s">
        <v>1326</v>
      </c>
      <c r="C84" s="53" t="s">
        <v>1327</v>
      </c>
      <c r="D84" s="53" t="s">
        <v>1328</v>
      </c>
      <c r="E84" s="53" t="s">
        <v>1329</v>
      </c>
      <c r="F84" s="53" t="s">
        <v>1330</v>
      </c>
      <c r="G84" s="47" t="s">
        <v>671</v>
      </c>
      <c r="H84" s="53" t="s">
        <v>1331</v>
      </c>
      <c r="I84" s="53" t="s">
        <v>1332</v>
      </c>
      <c r="J84" s="53" t="s">
        <v>1333</v>
      </c>
      <c r="K84" s="53" t="s">
        <v>1334</v>
      </c>
      <c r="L84" s="53" t="s">
        <v>1335</v>
      </c>
      <c r="M84" s="189" t="str">
        <f t="shared" si="2"/>
        <v>ausserorts----Nebenstrasseguidage ouvertja--Radweg-</v>
      </c>
      <c r="N84" s="55">
        <f t="shared" si="4"/>
        <v>1.48E-3</v>
      </c>
      <c r="O84" s="53">
        <v>0.61</v>
      </c>
      <c r="P84" s="199">
        <v>6.9000000000000006E-2</v>
      </c>
      <c r="Q84" s="204">
        <f>'2.2 Nbre (densité) acc.'!$F$13</f>
        <v>0.40762584809404889</v>
      </c>
      <c r="R84" s="194">
        <f>'2.3 Gravité des accidents'!$F$11</f>
        <v>9.1999999999999998E-2</v>
      </c>
      <c r="S84">
        <v>10000</v>
      </c>
    </row>
    <row r="85" spans="1:19" hidden="1">
      <c r="A85" s="53" t="s">
        <v>1336</v>
      </c>
      <c r="B85" s="53" t="s">
        <v>1337</v>
      </c>
      <c r="C85" s="53" t="s">
        <v>1338</v>
      </c>
      <c r="D85" s="53" t="s">
        <v>1339</v>
      </c>
      <c r="E85" s="53" t="s">
        <v>1340</v>
      </c>
      <c r="F85" s="53" t="s">
        <v>1341</v>
      </c>
      <c r="G85" s="47" t="s">
        <v>671</v>
      </c>
      <c r="H85" s="53" t="s">
        <v>1342</v>
      </c>
      <c r="I85" s="53" t="s">
        <v>1343</v>
      </c>
      <c r="J85" s="53" t="s">
        <v>1344</v>
      </c>
      <c r="K85" s="53" t="s">
        <v>1345</v>
      </c>
      <c r="L85" s="53" t="s">
        <v>1346</v>
      </c>
      <c r="M85" s="189" t="str">
        <f t="shared" si="2"/>
        <v>ausserorts----Nebenstrasseguidage ouvertnein--Ohne-</v>
      </c>
      <c r="N85" s="55">
        <f t="shared" si="4"/>
        <v>1.48E-3</v>
      </c>
      <c r="O85" s="53">
        <v>0.61</v>
      </c>
      <c r="P85" s="199">
        <v>8.6999999999999994E-2</v>
      </c>
      <c r="Q85" s="204">
        <f>'2.2 Nbre (densité) acc.'!$F$13</f>
        <v>0.40762584809404889</v>
      </c>
      <c r="R85" s="194">
        <f>'2.3 Gravité des accidents'!$F$11</f>
        <v>9.1999999999999998E-2</v>
      </c>
      <c r="S85">
        <v>10000</v>
      </c>
    </row>
    <row r="86" spans="1:19" hidden="1">
      <c r="A86" s="53" t="s">
        <v>1347</v>
      </c>
      <c r="B86" s="53" t="s">
        <v>1348</v>
      </c>
      <c r="C86" s="53" t="s">
        <v>1349</v>
      </c>
      <c r="D86" s="53" t="s">
        <v>1350</v>
      </c>
      <c r="E86" s="53" t="s">
        <v>1351</v>
      </c>
      <c r="F86" s="53" t="s">
        <v>1352</v>
      </c>
      <c r="G86" s="47" t="s">
        <v>671</v>
      </c>
      <c r="H86" s="53" t="s">
        <v>1353</v>
      </c>
      <c r="I86" s="53" t="s">
        <v>1354</v>
      </c>
      <c r="J86" s="53" t="s">
        <v>1355</v>
      </c>
      <c r="K86" s="53" t="s">
        <v>1356</v>
      </c>
      <c r="L86" s="53" t="s">
        <v>1357</v>
      </c>
      <c r="M86" s="189" t="str">
        <f t="shared" si="2"/>
        <v>ausserorts----Nebenstrasseguidage ouvertnein--Radstreifen-</v>
      </c>
      <c r="N86" s="55">
        <f t="shared" si="4"/>
        <v>1.48E-3</v>
      </c>
      <c r="O86" s="53">
        <v>0.61</v>
      </c>
      <c r="P86" s="199">
        <v>9.7000000000000003E-2</v>
      </c>
      <c r="Q86" s="204">
        <f>'2.2 Nbre (densité) acc.'!$F$13</f>
        <v>0.40762584809404889</v>
      </c>
      <c r="R86" s="194">
        <f>'2.3 Gravité des accidents'!$F$11</f>
        <v>9.1999999999999998E-2</v>
      </c>
      <c r="S86">
        <v>10000</v>
      </c>
    </row>
    <row r="87" spans="1:19" hidden="1">
      <c r="A87" s="53" t="s">
        <v>1358</v>
      </c>
      <c r="B87" s="53" t="s">
        <v>1359</v>
      </c>
      <c r="C87" s="53" t="s">
        <v>1360</v>
      </c>
      <c r="D87" s="53" t="s">
        <v>1361</v>
      </c>
      <c r="E87" s="53" t="s">
        <v>1362</v>
      </c>
      <c r="F87" s="53" t="s">
        <v>1363</v>
      </c>
      <c r="G87" s="47" t="s">
        <v>671</v>
      </c>
      <c r="H87" s="53" t="s">
        <v>1364</v>
      </c>
      <c r="I87" s="53" t="s">
        <v>1365</v>
      </c>
      <c r="J87" s="53" t="s">
        <v>1366</v>
      </c>
      <c r="K87" s="53" t="s">
        <v>1367</v>
      </c>
      <c r="L87" s="53" t="s">
        <v>1368</v>
      </c>
      <c r="M87" s="189" t="str">
        <f t="shared" si="2"/>
        <v>ausserorts----Nebenstrasseguidage ouvertnein--Radweg-</v>
      </c>
      <c r="N87" s="55">
        <f t="shared" si="4"/>
        <v>1.48E-3</v>
      </c>
      <c r="O87" s="53">
        <v>0.61</v>
      </c>
      <c r="P87" s="199">
        <v>9.7000000000000003E-2</v>
      </c>
      <c r="Q87" s="204">
        <f>'2.2 Nbre (densité) acc.'!$F$13</f>
        <v>0.40762584809404889</v>
      </c>
      <c r="R87" s="194">
        <f>'2.3 Gravité des accidents'!$F$11</f>
        <v>9.1999999999999998E-2</v>
      </c>
      <c r="S87">
        <v>11000</v>
      </c>
    </row>
    <row r="88" spans="1:19" hidden="1">
      <c r="A88" s="53" t="s">
        <v>1369</v>
      </c>
      <c r="B88" s="53" t="s">
        <v>1370</v>
      </c>
      <c r="C88" s="53" t="s">
        <v>1371</v>
      </c>
      <c r="D88" s="53" t="s">
        <v>1372</v>
      </c>
      <c r="E88" s="53" t="s">
        <v>1373</v>
      </c>
      <c r="F88" s="22" t="s">
        <v>1374</v>
      </c>
      <c r="G88" s="47" t="s">
        <v>671</v>
      </c>
      <c r="H88" s="22" t="s">
        <v>1375</v>
      </c>
      <c r="I88" s="22" t="s">
        <v>1376</v>
      </c>
      <c r="J88" s="22" t="s">
        <v>1377</v>
      </c>
      <c r="K88" s="22" t="s">
        <v>1378</v>
      </c>
      <c r="L88" s="22" t="s">
        <v>1379</v>
      </c>
      <c r="M88" s="189" t="str">
        <f t="shared" si="2"/>
        <v>ausserorts----Nebenstrasseguidage ouvert-----</v>
      </c>
      <c r="N88" s="61">
        <f>1.06*10^-3</f>
        <v>1.0600000000000002E-3</v>
      </c>
      <c r="O88" s="22">
        <v>0.61</v>
      </c>
      <c r="P88" s="198">
        <v>4.2999999999999997E-2</v>
      </c>
      <c r="Q88" s="204">
        <f>'2.2 Nbre (densité) acc.'!$F$13</f>
        <v>0.40762584809404889</v>
      </c>
      <c r="R88" s="194">
        <f>'2.3 Gravité des accidents'!$F$11</f>
        <v>9.1999999999999998E-2</v>
      </c>
      <c r="S88">
        <v>12500</v>
      </c>
    </row>
    <row r="89" spans="1:19">
      <c r="A89" s="62" t="s">
        <v>1380</v>
      </c>
      <c r="B89" s="62" t="s">
        <v>1381</v>
      </c>
      <c r="C89" s="62" t="s">
        <v>1382</v>
      </c>
      <c r="D89" s="62" t="s">
        <v>1383</v>
      </c>
      <c r="E89" s="62" t="s">
        <v>1384</v>
      </c>
      <c r="F89" s="62" t="s">
        <v>1385</v>
      </c>
      <c r="G89" s="47" t="s">
        <v>671</v>
      </c>
      <c r="H89" s="63" t="s">
        <v>1386</v>
      </c>
      <c r="I89" s="63" t="s">
        <v>1387</v>
      </c>
      <c r="J89" s="63" t="s">
        <v>1388</v>
      </c>
      <c r="K89" s="63" t="s">
        <v>1389</v>
      </c>
      <c r="L89" s="62" t="s">
        <v>1390</v>
      </c>
      <c r="M89" s="189" t="str">
        <f t="shared" si="2"/>
        <v>autoroute / semi-autoroute----autorouteguidage ouvert----&gt; 2 voies par sens de circulation</v>
      </c>
      <c r="N89" s="64">
        <f>5.82*10^-8</f>
        <v>5.8200000000000005E-8</v>
      </c>
      <c r="O89" s="62">
        <v>1.57</v>
      </c>
      <c r="P89" s="200">
        <v>1.2E-2</v>
      </c>
      <c r="Q89" s="204">
        <f>'2.2 Nbre (densité) acc.'!$G$10</f>
        <v>2.1344951115014643</v>
      </c>
      <c r="R89" s="202">
        <f>'2.3 Gravité des accidents'!$G$10</f>
        <v>1.8749999999999999E-2</v>
      </c>
      <c r="S89">
        <v>70000</v>
      </c>
    </row>
    <row r="90" spans="1:19">
      <c r="A90" s="62" t="s">
        <v>1391</v>
      </c>
      <c r="B90" s="62" t="s">
        <v>1392</v>
      </c>
      <c r="C90" s="62" t="s">
        <v>1393</v>
      </c>
      <c r="D90" s="62" t="s">
        <v>1394</v>
      </c>
      <c r="E90" s="62" t="s">
        <v>1395</v>
      </c>
      <c r="F90" s="62" t="s">
        <v>1396</v>
      </c>
      <c r="G90" s="47" t="s">
        <v>671</v>
      </c>
      <c r="H90" s="63" t="s">
        <v>1397</v>
      </c>
      <c r="I90" s="63" t="s">
        <v>1398</v>
      </c>
      <c r="J90" s="63" t="s">
        <v>1399</v>
      </c>
      <c r="K90" s="63" t="s">
        <v>1400</v>
      </c>
      <c r="L90" s="62" t="s">
        <v>1401</v>
      </c>
      <c r="M90" s="189" t="str">
        <f t="shared" si="2"/>
        <v>autoroute / semi-autoroute----autorouteguidage ouvert----&lt;=2 voies par sens de circulation</v>
      </c>
      <c r="N90" s="64">
        <f>7.31*10^-8</f>
        <v>7.3099999999999999E-8</v>
      </c>
      <c r="O90" s="62">
        <v>1.57</v>
      </c>
      <c r="P90" s="200">
        <v>1.4E-2</v>
      </c>
      <c r="Q90" s="204">
        <f>'2.2 Nbre (densité) acc.'!$G$10</f>
        <v>2.1344951115014643</v>
      </c>
      <c r="R90" s="202">
        <f>'2.3 Gravité des accidents'!$G$10</f>
        <v>1.8749999999999999E-2</v>
      </c>
      <c r="S90">
        <v>45000</v>
      </c>
    </row>
    <row r="91" spans="1:19">
      <c r="A91" s="22" t="s">
        <v>1402</v>
      </c>
      <c r="B91" s="22" t="s">
        <v>1403</v>
      </c>
      <c r="C91" s="22" t="s">
        <v>1404</v>
      </c>
      <c r="D91" s="22" t="s">
        <v>1405</v>
      </c>
      <c r="E91" s="22" t="s">
        <v>1406</v>
      </c>
      <c r="F91" s="22" t="s">
        <v>1407</v>
      </c>
      <c r="G91" s="47" t="s">
        <v>671</v>
      </c>
      <c r="H91" s="60" t="s">
        <v>1408</v>
      </c>
      <c r="I91" s="60" t="s">
        <v>1409</v>
      </c>
      <c r="J91" s="60" t="s">
        <v>1410</v>
      </c>
      <c r="K91" s="60" t="s">
        <v>1411</v>
      </c>
      <c r="L91" s="22" t="s">
        <v>1412</v>
      </c>
      <c r="M91" s="189" t="str">
        <f t="shared" si="2"/>
        <v>autoroute / semi-autoroute----autorouteguidage ouvert-----</v>
      </c>
      <c r="N91" s="61">
        <f t="shared" ref="N91" si="5">5.82*10^-8</f>
        <v>5.8200000000000005E-8</v>
      </c>
      <c r="O91" s="22">
        <v>1.57</v>
      </c>
      <c r="P91" s="198">
        <v>1.7999999999999999E-2</v>
      </c>
      <c r="Q91" s="204">
        <f>'2.2 Nbre (densité) acc.'!$G$10</f>
        <v>2.1344951115014643</v>
      </c>
      <c r="R91" s="202">
        <f>'2.3 Gravité des accidents'!$G$10</f>
        <v>1.8749999999999999E-2</v>
      </c>
      <c r="S91">
        <v>20000</v>
      </c>
    </row>
    <row r="92" spans="1:19">
      <c r="A92" s="23" t="s">
        <v>1413</v>
      </c>
      <c r="B92" s="23" t="s">
        <v>1414</v>
      </c>
      <c r="C92" s="23" t="s">
        <v>1415</v>
      </c>
      <c r="D92" s="23" t="s">
        <v>1416</v>
      </c>
      <c r="E92" s="23" t="s">
        <v>1417</v>
      </c>
      <c r="F92" s="23" t="s">
        <v>1588</v>
      </c>
      <c r="G92" s="47" t="s">
        <v>671</v>
      </c>
      <c r="H92" s="191" t="s">
        <v>1418</v>
      </c>
      <c r="I92" s="191" t="s">
        <v>1419</v>
      </c>
      <c r="J92" s="191" t="s">
        <v>1420</v>
      </c>
      <c r="K92" s="191" t="s">
        <v>1421</v>
      </c>
      <c r="L92" s="23" t="s">
        <v>1422</v>
      </c>
      <c r="M92" s="189" t="str">
        <f t="shared" si="2"/>
        <v>autoroute / semi-autoroute----rampe dans jonctionguidage ouvert-----</v>
      </c>
      <c r="N92" s="192">
        <f>1.4*10^-4</f>
        <v>1.3999999999999999E-4</v>
      </c>
      <c r="O92" s="23">
        <v>0.88</v>
      </c>
      <c r="P92" s="201">
        <v>1.9E-2</v>
      </c>
      <c r="Q92" s="204">
        <f>'2.2 Nbre (densité) acc.'!$G$10</f>
        <v>2.1344951115014643</v>
      </c>
      <c r="R92" s="202">
        <f>'2.3 Gravité des accidents'!$G$10</f>
        <v>1.8749999999999999E-2</v>
      </c>
      <c r="S92">
        <v>15000</v>
      </c>
    </row>
    <row r="93" spans="1:19">
      <c r="A93" s="62" t="s">
        <v>1423</v>
      </c>
      <c r="B93" s="62" t="s">
        <v>1424</v>
      </c>
      <c r="C93" s="62" t="s">
        <v>1425</v>
      </c>
      <c r="D93" s="62" t="s">
        <v>1426</v>
      </c>
      <c r="E93" s="62" t="s">
        <v>1427</v>
      </c>
      <c r="F93" s="62" t="s">
        <v>1428</v>
      </c>
      <c r="G93" s="47" t="s">
        <v>671</v>
      </c>
      <c r="H93" s="63" t="s">
        <v>1429</v>
      </c>
      <c r="I93" s="63" t="s">
        <v>1430</v>
      </c>
      <c r="J93" s="63" t="s">
        <v>1431</v>
      </c>
      <c r="K93" s="63" t="s">
        <v>1432</v>
      </c>
      <c r="L93" s="62" t="s">
        <v>1433</v>
      </c>
      <c r="M93" s="189" t="str">
        <f t="shared" si="2"/>
        <v>autoroute / semi-autoroute----semi-autorouteguidage ouvert----avec séparation physique</v>
      </c>
      <c r="N93" s="64">
        <f>3.29*10^-5</f>
        <v>3.29E-5</v>
      </c>
      <c r="O93" s="62">
        <v>0.96</v>
      </c>
      <c r="P93" s="200">
        <v>1.7999999999999999E-2</v>
      </c>
      <c r="Q93" s="204">
        <f>'2.2 Nbre (densité) acc.'!$H$10</f>
        <v>0.67712976295048399</v>
      </c>
      <c r="R93" s="194">
        <f>'2.3 Gravité des accidents'!$H$10</f>
        <v>0.10150000000000001</v>
      </c>
      <c r="S93">
        <v>35000</v>
      </c>
    </row>
    <row r="94" spans="1:19">
      <c r="A94" s="62" t="s">
        <v>1434</v>
      </c>
      <c r="B94" s="62" t="s">
        <v>1435</v>
      </c>
      <c r="C94" s="62" t="s">
        <v>1436</v>
      </c>
      <c r="D94" s="62" t="s">
        <v>1437</v>
      </c>
      <c r="E94" s="62" t="s">
        <v>1438</v>
      </c>
      <c r="F94" s="62" t="s">
        <v>1439</v>
      </c>
      <c r="G94" s="47" t="s">
        <v>671</v>
      </c>
      <c r="H94" s="63" t="s">
        <v>1440</v>
      </c>
      <c r="I94" s="63" t="s">
        <v>1441</v>
      </c>
      <c r="J94" s="63" t="s">
        <v>1442</v>
      </c>
      <c r="K94" s="63" t="s">
        <v>1443</v>
      </c>
      <c r="L94" s="62" t="s">
        <v>1444</v>
      </c>
      <c r="M94" s="189" t="str">
        <f t="shared" si="2"/>
        <v>autoroute / semi-autoroute----semi-autorouteguidage ouvert----sans séparation physique</v>
      </c>
      <c r="N94" s="64">
        <f>1.16*10^-4</f>
        <v>1.16E-4</v>
      </c>
      <c r="O94" s="62">
        <v>0.84</v>
      </c>
      <c r="P94" s="200">
        <v>6.0999999999999999E-2</v>
      </c>
      <c r="Q94" s="204">
        <f>'2.2 Nbre (densité) acc.'!$H$10</f>
        <v>0.67712976295048399</v>
      </c>
      <c r="R94" s="194">
        <f>'2.3 Gravité des accidents'!$H$10</f>
        <v>0.10150000000000001</v>
      </c>
      <c r="S94">
        <v>18000</v>
      </c>
    </row>
    <row r="95" spans="1:19">
      <c r="A95" s="22" t="s">
        <v>1445</v>
      </c>
      <c r="B95" s="22" t="s">
        <v>1446</v>
      </c>
      <c r="C95" s="22" t="s">
        <v>1447</v>
      </c>
      <c r="D95" s="22" t="s">
        <v>1448</v>
      </c>
      <c r="E95" s="22" t="s">
        <v>1449</v>
      </c>
      <c r="F95" s="22" t="s">
        <v>1450</v>
      </c>
      <c r="G95" s="47" t="s">
        <v>671</v>
      </c>
      <c r="H95" s="60" t="s">
        <v>1451</v>
      </c>
      <c r="I95" s="60" t="s">
        <v>1452</v>
      </c>
      <c r="J95" s="60" t="s">
        <v>1453</v>
      </c>
      <c r="K95" s="60" t="s">
        <v>1454</v>
      </c>
      <c r="L95" s="22" t="s">
        <v>1455</v>
      </c>
      <c r="M95" s="189" t="str">
        <f t="shared" si="2"/>
        <v>autoroute / semi-autoroute----semi-autorouteguidage ouvert----avec séparation physique</v>
      </c>
      <c r="N95" s="61">
        <f>7.67*10^-6</f>
        <v>7.6699999999999994E-6</v>
      </c>
      <c r="O95" s="22">
        <v>1.08</v>
      </c>
      <c r="P95" s="198">
        <v>6.7000000000000004E-2</v>
      </c>
      <c r="Q95" s="204">
        <f>'2.2 Nbre (densité) acc.'!$H$10</f>
        <v>0.67712976295048399</v>
      </c>
      <c r="R95" s="194">
        <f>'2.3 Gravité des accidents'!$H$10</f>
        <v>0.10150000000000001</v>
      </c>
      <c r="S95">
        <v>20000</v>
      </c>
    </row>
    <row r="96" spans="1:19">
      <c r="A96" s="22" t="s">
        <v>1456</v>
      </c>
      <c r="B96" s="22" t="s">
        <v>1457</v>
      </c>
      <c r="C96" s="22" t="s">
        <v>1458</v>
      </c>
      <c r="D96" s="22" t="s">
        <v>1459</v>
      </c>
      <c r="E96" s="22" t="s">
        <v>1460</v>
      </c>
      <c r="F96" s="22" t="s">
        <v>1461</v>
      </c>
      <c r="G96" s="47" t="s">
        <v>671</v>
      </c>
      <c r="H96" s="60" t="s">
        <v>1462</v>
      </c>
      <c r="I96" s="60" t="s">
        <v>1463</v>
      </c>
      <c r="J96" s="60" t="s">
        <v>1464</v>
      </c>
      <c r="K96" s="60" t="s">
        <v>1465</v>
      </c>
      <c r="L96" s="22" t="s">
        <v>1466</v>
      </c>
      <c r="M96" s="189" t="str">
        <f t="shared" si="2"/>
        <v>autoroute / semi-autoroute----semi-autorouteguidage ouvert----sans séparation physique</v>
      </c>
      <c r="N96" s="61">
        <f>7.06*10^-5</f>
        <v>7.0600000000000008E-5</v>
      </c>
      <c r="O96" s="22">
        <v>0.84</v>
      </c>
      <c r="P96" s="198">
        <v>0.113</v>
      </c>
      <c r="Q96" s="204">
        <f>'2.2 Nbre (densité) acc.'!$H$10</f>
        <v>0.67712976295048399</v>
      </c>
      <c r="R96" s="194">
        <f>'2.3 Gravité des accidents'!$H$10</f>
        <v>0.10150000000000001</v>
      </c>
      <c r="S96">
        <v>17500</v>
      </c>
    </row>
  </sheetData>
  <phoneticPr fontId="19" type="noConversion"/>
  <pageMargins left="0.7" right="0.7" top="0.78740157499999996" bottom="0.78740157499999996" header="0.3" footer="0.3"/>
  <ignoredErrors>
    <ignoredError sqref="N28 N90" formula="1"/>
  </ignoredErrors>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6B46-E657-4D59-967A-5E7D4AFC110B}">
  <sheetPr codeName="Tabelle8">
    <tabColor theme="7" tint="0.39997558519241921"/>
  </sheetPr>
  <dimension ref="A1:AI152"/>
  <sheetViews>
    <sheetView zoomScale="40" zoomScaleNormal="40" workbookViewId="0">
      <selection activeCell="X71" sqref="X71"/>
    </sheetView>
  </sheetViews>
  <sheetFormatPr baseColWidth="10" defaultColWidth="11.140625" defaultRowHeight="12"/>
  <cols>
    <col min="1" max="1" width="17.140625" customWidth="1"/>
    <col min="3" max="3" width="24.85546875" customWidth="1"/>
    <col min="4" max="4" width="24.7109375" bestFit="1" customWidth="1"/>
    <col min="5" max="5" width="16.5703125" customWidth="1"/>
    <col min="6" max="6" width="14.85546875" customWidth="1"/>
    <col min="7" max="7" width="33.85546875" customWidth="1"/>
    <col min="8" max="8" width="18.140625" customWidth="1"/>
    <col min="9" max="9" width="22.5703125" customWidth="1"/>
    <col min="10" max="10" width="19.5703125" customWidth="1"/>
    <col min="11" max="11" width="15.140625" customWidth="1"/>
    <col min="12" max="12" width="18.5703125" customWidth="1"/>
    <col min="14" max="14" width="19.85546875" customWidth="1"/>
    <col min="15" max="15" width="30.5703125" bestFit="1" customWidth="1"/>
    <col min="16" max="16" width="22.5703125" customWidth="1"/>
    <col min="17" max="18" width="25.5703125" customWidth="1"/>
    <col min="19" max="19" width="18.42578125" customWidth="1"/>
    <col min="20" max="20" width="15.5703125" customWidth="1"/>
    <col min="21" max="21" width="16.28515625" customWidth="1"/>
    <col min="22" max="22" width="15.5703125" customWidth="1"/>
    <col min="23" max="23" width="16.85546875" customWidth="1"/>
    <col min="24" max="25" width="30.140625" customWidth="1"/>
    <col min="26" max="26" width="31.5703125" customWidth="1"/>
    <col min="27" max="27" width="72.28515625" customWidth="1"/>
    <col min="28" max="28" width="68.42578125" customWidth="1"/>
    <col min="29" max="29" width="17.28515625" customWidth="1"/>
    <col min="30" max="30" width="17.5703125" customWidth="1"/>
    <col min="31" max="31" width="54.7109375" customWidth="1"/>
  </cols>
  <sheetData>
    <row r="1" spans="1:34">
      <c r="A1" s="1"/>
      <c r="B1" s="1"/>
      <c r="C1" s="1"/>
      <c r="D1" s="1"/>
      <c r="E1" s="1"/>
      <c r="F1" s="27"/>
      <c r="G1" s="1"/>
      <c r="H1" s="1"/>
      <c r="I1" s="1"/>
      <c r="J1" s="1"/>
      <c r="K1" s="1"/>
      <c r="L1" s="1"/>
      <c r="M1" s="1"/>
      <c r="N1" s="1"/>
      <c r="O1" s="1"/>
      <c r="P1" s="1"/>
      <c r="Q1" s="1"/>
      <c r="R1" s="9"/>
      <c r="S1" s="9"/>
      <c r="T1" s="9"/>
      <c r="U1" s="1"/>
      <c r="V1" s="1"/>
      <c r="W1" s="1"/>
      <c r="X1" s="1"/>
      <c r="Y1" s="1"/>
      <c r="Z1" s="1"/>
      <c r="AA1" s="1"/>
      <c r="AB1" s="1"/>
      <c r="AC1" s="1"/>
      <c r="AD1" s="1"/>
      <c r="AE1" s="1"/>
      <c r="AF1" s="1"/>
      <c r="AG1" s="1"/>
      <c r="AH1" s="1"/>
    </row>
    <row r="2" spans="1:34">
      <c r="A2" s="1"/>
      <c r="B2" s="1"/>
      <c r="C2" s="1"/>
      <c r="D2" s="1"/>
      <c r="E2" s="1"/>
      <c r="F2" s="27"/>
      <c r="G2" s="1"/>
      <c r="H2" s="1"/>
      <c r="I2" s="1"/>
      <c r="J2" s="1"/>
      <c r="K2" s="1"/>
      <c r="L2" s="1"/>
      <c r="M2" s="1"/>
      <c r="N2" s="1"/>
      <c r="O2" s="1"/>
      <c r="P2" s="1"/>
      <c r="Q2" s="1"/>
      <c r="R2" s="9"/>
      <c r="S2" s="9"/>
      <c r="T2" s="9"/>
      <c r="U2" s="1"/>
      <c r="V2" s="1"/>
      <c r="W2" s="1"/>
      <c r="X2" s="1"/>
      <c r="Y2" s="1"/>
      <c r="Z2" s="1"/>
      <c r="AA2" s="1"/>
      <c r="AB2" s="1"/>
      <c r="AC2" s="1"/>
      <c r="AD2" s="1"/>
      <c r="AE2" s="1"/>
      <c r="AF2" s="1"/>
      <c r="AG2" s="1"/>
      <c r="AH2" s="1"/>
    </row>
    <row r="3" spans="1:34">
      <c r="A3" s="1"/>
      <c r="B3" s="1"/>
      <c r="C3" s="1"/>
      <c r="D3" s="1"/>
      <c r="E3" s="1"/>
      <c r="F3" s="27"/>
      <c r="G3" s="1"/>
      <c r="H3" s="1"/>
      <c r="I3" s="1"/>
      <c r="J3" s="1"/>
      <c r="K3" s="1"/>
      <c r="L3" s="1"/>
      <c r="M3" s="1"/>
      <c r="N3" s="1"/>
      <c r="O3" s="1"/>
      <c r="P3" s="1"/>
      <c r="Q3" s="1"/>
      <c r="R3" s="9"/>
      <c r="S3" s="9"/>
      <c r="T3" s="9"/>
      <c r="U3" s="1"/>
      <c r="V3" s="1"/>
      <c r="W3" s="1"/>
      <c r="X3" s="1"/>
      <c r="Y3" s="1"/>
      <c r="Z3" s="1"/>
      <c r="AA3" s="1"/>
      <c r="AB3" s="1"/>
      <c r="AC3" s="1"/>
      <c r="AD3" s="1"/>
      <c r="AE3" s="1"/>
      <c r="AF3" s="1"/>
      <c r="AG3" s="1"/>
      <c r="AH3" s="1"/>
    </row>
    <row r="4" spans="1:34">
      <c r="A4" s="1"/>
      <c r="B4" s="1"/>
      <c r="C4" s="1"/>
      <c r="D4" s="1"/>
      <c r="E4" s="1"/>
      <c r="F4" s="27"/>
      <c r="G4" s="1"/>
      <c r="H4" s="1"/>
      <c r="I4" s="1"/>
      <c r="J4" s="1"/>
      <c r="K4" s="1"/>
      <c r="L4" s="1"/>
      <c r="M4" s="1"/>
      <c r="N4" s="1"/>
      <c r="O4" s="1"/>
      <c r="P4" s="1"/>
      <c r="Q4" s="1"/>
      <c r="R4" s="9"/>
      <c r="S4" s="9"/>
      <c r="T4" s="9"/>
      <c r="U4" s="1"/>
      <c r="V4" s="1"/>
      <c r="W4" s="1"/>
      <c r="X4" s="1"/>
      <c r="Y4" s="1"/>
      <c r="Z4" s="1"/>
      <c r="AA4" s="1"/>
      <c r="AB4" s="1"/>
      <c r="AC4" s="1"/>
      <c r="AD4" s="1"/>
      <c r="AE4" s="1"/>
      <c r="AF4" s="1"/>
      <c r="AG4" s="1"/>
      <c r="AH4" s="1"/>
    </row>
    <row r="5" spans="1:34">
      <c r="A5" s="1"/>
      <c r="B5" s="1"/>
      <c r="C5" s="1"/>
      <c r="D5" s="1"/>
      <c r="E5" s="1"/>
      <c r="F5" s="27"/>
      <c r="G5" s="1"/>
      <c r="H5" s="1"/>
      <c r="I5" s="1"/>
      <c r="J5" s="1"/>
      <c r="K5" s="1"/>
      <c r="L5" s="1"/>
      <c r="M5" s="1"/>
      <c r="N5" s="1"/>
      <c r="O5" s="1"/>
      <c r="P5" s="1"/>
      <c r="Q5" s="1"/>
      <c r="R5" s="9"/>
      <c r="S5" s="9"/>
      <c r="T5" s="9"/>
      <c r="U5" s="1"/>
      <c r="V5" s="1"/>
      <c r="W5" s="1"/>
      <c r="X5" s="1"/>
      <c r="Y5" s="1"/>
      <c r="Z5" s="1"/>
      <c r="AA5" s="1"/>
      <c r="AB5" s="1"/>
      <c r="AC5" s="1"/>
      <c r="AD5" s="1"/>
      <c r="AE5" s="1"/>
      <c r="AF5" s="1"/>
      <c r="AG5" s="1"/>
      <c r="AH5" s="1"/>
    </row>
    <row r="6" spans="1:34">
      <c r="A6" s="1"/>
      <c r="B6" s="1"/>
      <c r="C6" s="1"/>
      <c r="D6" s="1"/>
      <c r="E6" s="1"/>
      <c r="F6" s="27"/>
      <c r="G6" s="1"/>
      <c r="H6" s="1"/>
      <c r="I6" s="1"/>
      <c r="J6" s="1"/>
      <c r="K6" s="1"/>
      <c r="L6" s="1"/>
      <c r="M6" s="1"/>
      <c r="N6" s="1"/>
      <c r="O6" s="1"/>
      <c r="P6" s="1"/>
      <c r="Q6" s="1"/>
      <c r="R6" s="9"/>
      <c r="S6" s="9"/>
      <c r="T6" s="9"/>
      <c r="U6" s="1"/>
      <c r="V6" s="1"/>
      <c r="W6" s="1"/>
      <c r="X6" s="1"/>
      <c r="Y6" s="1"/>
      <c r="Z6" s="1"/>
      <c r="AA6" s="1"/>
      <c r="AB6" s="1"/>
      <c r="AC6" s="1"/>
      <c r="AD6" s="1"/>
      <c r="AE6" s="1"/>
      <c r="AF6" s="1"/>
      <c r="AG6" s="1"/>
      <c r="AH6" s="1"/>
    </row>
    <row r="7" spans="1:34" ht="5.45" customHeight="1">
      <c r="A7" s="1"/>
      <c r="B7" s="1"/>
      <c r="C7" s="1"/>
      <c r="D7" s="1"/>
      <c r="E7" s="1"/>
      <c r="F7" s="27"/>
      <c r="G7" s="1"/>
      <c r="H7" s="1"/>
      <c r="I7" s="1"/>
      <c r="J7" s="1"/>
      <c r="K7" s="1"/>
      <c r="L7" s="1"/>
      <c r="M7" s="1"/>
      <c r="N7" s="1"/>
      <c r="O7" s="1"/>
      <c r="P7" s="1"/>
      <c r="Q7" s="1"/>
      <c r="R7" s="9"/>
      <c r="S7" s="9"/>
      <c r="T7" s="9"/>
      <c r="U7" s="1"/>
      <c r="V7" s="1"/>
      <c r="W7" s="1"/>
      <c r="X7" s="1"/>
      <c r="Y7" s="1"/>
      <c r="Z7" s="1"/>
      <c r="AA7" s="1"/>
      <c r="AB7" s="1"/>
      <c r="AC7" s="1"/>
      <c r="AD7" s="1"/>
      <c r="AE7" s="1"/>
      <c r="AF7" s="1"/>
      <c r="AG7" s="1"/>
      <c r="AH7" s="1"/>
    </row>
    <row r="8" spans="1:34" ht="50.45" hidden="1" customHeight="1">
      <c r="A8" s="1"/>
      <c r="B8" s="1"/>
      <c r="C8" s="1"/>
      <c r="D8" s="1"/>
      <c r="E8" s="1"/>
      <c r="F8" s="27"/>
      <c r="G8" s="1"/>
      <c r="H8" s="1"/>
      <c r="I8" s="1"/>
      <c r="J8" s="1"/>
      <c r="K8" s="1"/>
      <c r="L8" s="1"/>
      <c r="M8" s="1"/>
      <c r="N8" s="1"/>
      <c r="O8" s="1"/>
      <c r="P8" s="1"/>
      <c r="Q8" s="1"/>
      <c r="R8" s="9"/>
      <c r="S8" s="9"/>
      <c r="T8" s="9"/>
      <c r="U8" s="1"/>
      <c r="V8" s="1"/>
      <c r="W8" s="1"/>
      <c r="X8" s="1"/>
      <c r="Y8" s="1"/>
      <c r="Z8" s="1"/>
      <c r="AA8" s="1"/>
      <c r="AB8" s="1"/>
      <c r="AC8" s="1"/>
      <c r="AD8" s="1"/>
      <c r="AE8" s="1"/>
      <c r="AF8" s="1"/>
      <c r="AG8" s="1"/>
      <c r="AH8" s="1"/>
    </row>
    <row r="9" spans="1:34" ht="42.75" hidden="1" customHeight="1">
      <c r="A9" s="1"/>
      <c r="B9" s="1"/>
      <c r="C9" s="469" t="s">
        <v>1467</v>
      </c>
      <c r="D9" s="469"/>
      <c r="E9" s="469"/>
      <c r="F9" s="469"/>
      <c r="G9" s="469"/>
      <c r="H9" s="469"/>
      <c r="I9" s="469"/>
      <c r="J9" s="469"/>
      <c r="K9" s="469"/>
      <c r="L9" s="469"/>
      <c r="M9" s="469"/>
      <c r="N9" s="469"/>
      <c r="O9" s="469"/>
      <c r="P9" s="1"/>
      <c r="Q9" s="1"/>
      <c r="R9" s="9"/>
      <c r="S9" s="9"/>
      <c r="T9" s="9"/>
      <c r="U9" s="1"/>
      <c r="V9" s="1"/>
      <c r="W9" s="1"/>
      <c r="X9" s="1"/>
      <c r="Y9" s="1"/>
      <c r="Z9" s="1"/>
      <c r="AA9" s="1"/>
      <c r="AB9" s="1"/>
      <c r="AC9" s="1"/>
      <c r="AD9" s="1"/>
      <c r="AE9" s="1"/>
      <c r="AF9" s="1"/>
      <c r="AG9" s="1"/>
      <c r="AH9" s="1"/>
    </row>
    <row r="10" spans="1:34">
      <c r="A10" s="1"/>
      <c r="B10" s="1"/>
      <c r="C10" s="1"/>
      <c r="D10" s="1"/>
      <c r="E10" s="1"/>
      <c r="F10" s="27"/>
      <c r="G10" s="1"/>
      <c r="H10" s="1"/>
      <c r="I10" s="1"/>
      <c r="J10" s="1"/>
      <c r="K10" s="1"/>
      <c r="L10" s="1"/>
      <c r="M10" s="1"/>
      <c r="N10" s="1"/>
      <c r="O10" s="1"/>
      <c r="P10" s="1"/>
      <c r="Q10" s="1"/>
      <c r="R10" s="9"/>
      <c r="S10" s="9"/>
      <c r="T10" s="9"/>
      <c r="U10" s="1"/>
      <c r="V10" s="1"/>
      <c r="W10" s="1"/>
      <c r="X10" s="1"/>
      <c r="Y10" s="1"/>
      <c r="Z10" s="1"/>
      <c r="AA10" s="1"/>
      <c r="AB10" s="1"/>
      <c r="AC10" s="1"/>
      <c r="AD10" s="1"/>
      <c r="AE10" s="1"/>
      <c r="AF10" s="1"/>
      <c r="AG10" s="1"/>
      <c r="AH10" s="1"/>
    </row>
    <row r="11" spans="1:34" ht="1.5" customHeight="1">
      <c r="A11" s="1"/>
      <c r="B11" s="1"/>
      <c r="C11" s="1"/>
      <c r="D11" s="1"/>
      <c r="E11" s="1"/>
      <c r="F11" s="27"/>
      <c r="G11" s="1"/>
      <c r="H11" s="1"/>
      <c r="I11" s="1"/>
      <c r="J11" s="1"/>
      <c r="K11" s="1"/>
      <c r="L11" s="1"/>
      <c r="M11" s="1"/>
      <c r="N11" s="1"/>
      <c r="O11" s="1"/>
      <c r="P11" s="1"/>
      <c r="Q11" s="1"/>
      <c r="R11" s="9"/>
      <c r="S11" s="9"/>
      <c r="T11" s="9"/>
      <c r="U11" s="1"/>
      <c r="V11" s="1"/>
      <c r="W11" s="1"/>
      <c r="X11" s="1"/>
      <c r="Y11" s="1"/>
      <c r="Z11" s="1"/>
      <c r="AA11" s="1"/>
      <c r="AB11" s="1"/>
      <c r="AC11" s="1"/>
      <c r="AD11" s="1"/>
      <c r="AE11" s="1"/>
      <c r="AF11" s="1"/>
      <c r="AG11" s="1"/>
      <c r="AH11" s="1"/>
    </row>
    <row r="12" spans="1:34" ht="42" hidden="1" customHeight="1">
      <c r="A12" s="1"/>
      <c r="B12" s="1"/>
      <c r="C12" s="539" t="s">
        <v>1468</v>
      </c>
      <c r="D12" s="539"/>
      <c r="E12" s="539"/>
      <c r="F12" s="28"/>
      <c r="G12" s="24"/>
      <c r="H12" s="24"/>
      <c r="I12" s="24"/>
      <c r="J12" s="24"/>
      <c r="K12" s="24"/>
      <c r="L12" s="24"/>
      <c r="M12" s="24"/>
      <c r="N12" s="24"/>
      <c r="O12" s="24"/>
      <c r="P12" s="7"/>
      <c r="Q12" s="7"/>
      <c r="R12" s="7"/>
      <c r="S12" s="7"/>
      <c r="T12" s="7"/>
      <c r="U12" s="1"/>
      <c r="V12" s="1"/>
      <c r="W12" s="1"/>
      <c r="X12" s="1"/>
      <c r="Y12" s="1"/>
      <c r="Z12" s="1"/>
      <c r="AA12" s="1"/>
      <c r="AB12" s="1"/>
      <c r="AC12" s="1"/>
      <c r="AD12" s="1"/>
      <c r="AE12" s="1"/>
      <c r="AF12" s="1"/>
      <c r="AG12" s="1"/>
      <c r="AH12" s="1"/>
    </row>
    <row r="13" spans="1:34" ht="18.75" customHeight="1">
      <c r="A13" s="1"/>
      <c r="B13" s="1"/>
      <c r="C13" s="7"/>
      <c r="D13" s="7"/>
      <c r="E13" s="7"/>
      <c r="F13" s="29"/>
      <c r="G13" s="7"/>
      <c r="H13" s="7"/>
      <c r="I13" s="7"/>
      <c r="J13" s="7"/>
      <c r="K13" s="7"/>
      <c r="L13" s="7"/>
      <c r="M13" s="7"/>
      <c r="N13" s="7"/>
      <c r="O13" s="7"/>
      <c r="P13" s="7"/>
      <c r="Q13" s="7"/>
      <c r="R13" s="222"/>
      <c r="S13" s="222"/>
      <c r="T13" s="222"/>
      <c r="U13" s="223"/>
      <c r="V13" s="223"/>
      <c r="W13" s="223"/>
      <c r="X13" s="223"/>
      <c r="Y13" s="223"/>
      <c r="Z13" s="1"/>
      <c r="AA13" s="1"/>
      <c r="AB13" s="1"/>
      <c r="AC13" s="1"/>
      <c r="AD13" s="1"/>
      <c r="AE13" s="1"/>
      <c r="AF13" s="1"/>
      <c r="AG13" s="1"/>
      <c r="AH13" s="1"/>
    </row>
    <row r="14" spans="1:34" ht="22.5" customHeight="1">
      <c r="A14" s="1"/>
      <c r="B14" s="5"/>
      <c r="C14" s="11"/>
      <c r="D14" s="13"/>
      <c r="E14" s="13"/>
      <c r="F14" s="30"/>
      <c r="G14" s="13"/>
      <c r="H14" s="13"/>
      <c r="I14" s="13"/>
      <c r="J14" s="13"/>
      <c r="K14" s="13"/>
      <c r="L14" s="13"/>
      <c r="M14" s="13"/>
      <c r="N14" s="13"/>
      <c r="O14" s="13"/>
      <c r="P14" s="13"/>
      <c r="Q14" s="13"/>
      <c r="R14" s="1"/>
      <c r="S14" s="1"/>
      <c r="T14" s="1"/>
      <c r="U14" s="1"/>
      <c r="V14" s="1"/>
      <c r="W14" s="1"/>
      <c r="X14" s="1"/>
      <c r="Y14" s="1"/>
      <c r="Z14" s="1"/>
      <c r="AA14" s="1"/>
      <c r="AB14" s="1"/>
      <c r="AC14" s="1"/>
      <c r="AD14" s="1"/>
      <c r="AE14" s="1"/>
      <c r="AF14" s="1"/>
      <c r="AG14" s="1"/>
      <c r="AH14" s="1"/>
    </row>
    <row r="15" spans="1:34" ht="57.75" customHeight="1">
      <c r="A15" s="1"/>
      <c r="B15" s="5"/>
      <c r="C15" s="548" t="s">
        <v>1469</v>
      </c>
      <c r="D15" s="549"/>
      <c r="E15" s="549"/>
      <c r="F15" s="549"/>
      <c r="G15" s="549"/>
      <c r="H15" s="549"/>
      <c r="I15" s="549"/>
      <c r="J15" s="549"/>
      <c r="K15" s="549"/>
      <c r="L15" s="549"/>
      <c r="M15" s="549"/>
      <c r="N15" s="549"/>
      <c r="O15" s="549"/>
      <c r="P15" s="540"/>
      <c r="Q15" s="540"/>
      <c r="R15" s="1"/>
      <c r="S15" s="1"/>
      <c r="T15" s="1"/>
      <c r="U15" s="1"/>
      <c r="V15" s="1"/>
      <c r="W15" s="1"/>
      <c r="X15" s="1"/>
      <c r="Y15" s="1"/>
      <c r="Z15" s="1"/>
      <c r="AA15" s="1"/>
      <c r="AB15" s="1"/>
      <c r="AC15" s="1"/>
      <c r="AD15" s="1"/>
      <c r="AE15" s="1"/>
      <c r="AF15" s="1"/>
      <c r="AG15" s="1"/>
      <c r="AH15" s="1"/>
    </row>
    <row r="16" spans="1:34" ht="82.5" customHeight="1">
      <c r="A16" s="1"/>
      <c r="B16" s="5"/>
      <c r="C16" s="555" t="s">
        <v>2094</v>
      </c>
      <c r="D16" s="556"/>
      <c r="E16" s="556"/>
      <c r="F16" s="556"/>
      <c r="G16" s="556"/>
      <c r="H16" s="556"/>
      <c r="I16" s="556"/>
      <c r="J16" s="556"/>
      <c r="K16" s="556"/>
      <c r="L16" s="556"/>
      <c r="M16" s="556"/>
      <c r="N16" s="556"/>
      <c r="O16" s="556"/>
      <c r="P16" s="556"/>
      <c r="Q16" s="556"/>
      <c r="R16" s="556"/>
      <c r="S16" s="556"/>
      <c r="T16" s="556"/>
      <c r="U16" s="556"/>
      <c r="V16" s="556"/>
      <c r="W16" s="556"/>
      <c r="X16" s="556"/>
      <c r="Y16" s="556"/>
      <c r="Z16" s="1"/>
      <c r="AA16" s="1"/>
      <c r="AB16" s="1"/>
      <c r="AC16" s="1"/>
      <c r="AD16" s="1"/>
      <c r="AE16" s="1"/>
      <c r="AF16" s="1"/>
      <c r="AG16" s="1"/>
      <c r="AH16" s="1"/>
    </row>
    <row r="17" spans="1:34" ht="64.5" customHeight="1">
      <c r="A17" s="1"/>
      <c r="B17" s="5"/>
      <c r="C17" s="318"/>
      <c r="D17" s="475" t="s">
        <v>2120</v>
      </c>
      <c r="E17" s="475"/>
      <c r="F17" s="475"/>
      <c r="G17" s="475"/>
      <c r="H17" s="475"/>
      <c r="I17" s="475"/>
      <c r="J17" s="475"/>
      <c r="K17" s="475"/>
      <c r="L17" s="475"/>
      <c r="M17" s="475"/>
      <c r="N17" s="475"/>
      <c r="O17" s="475"/>
      <c r="P17" s="541" t="s">
        <v>2074</v>
      </c>
      <c r="Q17" s="541"/>
      <c r="R17" s="541"/>
      <c r="S17" s="550" t="s">
        <v>1610</v>
      </c>
      <c r="T17" s="483"/>
      <c r="U17" s="483"/>
      <c r="V17" s="483"/>
      <c r="W17" s="551"/>
      <c r="X17" s="550" t="s">
        <v>1591</v>
      </c>
      <c r="Y17" s="541"/>
      <c r="Z17" s="1"/>
      <c r="AA17" s="1"/>
      <c r="AB17" s="1"/>
      <c r="AC17" s="1"/>
      <c r="AD17" s="1"/>
      <c r="AE17" s="1"/>
      <c r="AF17" s="1"/>
      <c r="AG17" s="1"/>
      <c r="AH17" s="1"/>
    </row>
    <row r="18" spans="1:34" ht="54.75" customHeight="1">
      <c r="A18" s="1"/>
      <c r="B18" s="1"/>
      <c r="C18" s="476"/>
      <c r="D18" s="207"/>
      <c r="E18" s="458" t="s">
        <v>1589</v>
      </c>
      <c r="F18" s="458"/>
      <c r="G18" s="458"/>
      <c r="H18" s="458"/>
      <c r="I18" s="441" t="s">
        <v>2121</v>
      </c>
      <c r="J18" s="441"/>
      <c r="K18" s="441"/>
      <c r="L18" s="441"/>
      <c r="M18" s="441"/>
      <c r="N18" s="441"/>
      <c r="O18" s="441"/>
      <c r="P18" s="542"/>
      <c r="Q18" s="542"/>
      <c r="R18" s="542"/>
      <c r="S18" s="552"/>
      <c r="T18" s="553"/>
      <c r="U18" s="553"/>
      <c r="V18" s="553"/>
      <c r="W18" s="554"/>
      <c r="X18" s="558"/>
      <c r="Y18" s="541"/>
      <c r="Z18" s="1"/>
      <c r="AA18" s="1"/>
      <c r="AB18" s="1"/>
      <c r="AC18" s="1"/>
      <c r="AD18" s="1"/>
      <c r="AE18" s="1"/>
      <c r="AF18" s="1"/>
      <c r="AG18" s="1"/>
      <c r="AH18" s="1"/>
    </row>
    <row r="19" spans="1:34" s="93" customFormat="1" ht="100.5" customHeight="1">
      <c r="A19" s="92"/>
      <c r="B19" s="92"/>
      <c r="C19" s="476"/>
      <c r="D19" s="208" t="s">
        <v>1470</v>
      </c>
      <c r="E19" s="208" t="s">
        <v>1471</v>
      </c>
      <c r="F19" s="209" t="s">
        <v>1560</v>
      </c>
      <c r="G19" s="208" t="s">
        <v>1568</v>
      </c>
      <c r="H19" s="208" t="s">
        <v>1472</v>
      </c>
      <c r="I19" s="210" t="s">
        <v>1473</v>
      </c>
      <c r="J19" s="211" t="s">
        <v>1474</v>
      </c>
      <c r="K19" s="208" t="s">
        <v>1475</v>
      </c>
      <c r="L19" s="208" t="s">
        <v>1476</v>
      </c>
      <c r="M19" s="208" t="s">
        <v>1477</v>
      </c>
      <c r="N19" s="208" t="s">
        <v>1478</v>
      </c>
      <c r="O19" s="234" t="s">
        <v>1590</v>
      </c>
      <c r="P19" s="233" t="s">
        <v>1479</v>
      </c>
      <c r="Q19" s="547" t="s">
        <v>2122</v>
      </c>
      <c r="R19" s="547"/>
      <c r="S19" s="543" t="s">
        <v>1675</v>
      </c>
      <c r="T19" s="544"/>
      <c r="U19" s="544"/>
      <c r="V19" s="544"/>
      <c r="W19" s="545"/>
      <c r="X19" s="345" t="s">
        <v>1480</v>
      </c>
      <c r="Y19" s="344" t="s">
        <v>2075</v>
      </c>
      <c r="Z19" s="92"/>
      <c r="AA19" s="92"/>
      <c r="AB19" s="92"/>
      <c r="AC19" s="92"/>
      <c r="AD19" s="92"/>
      <c r="AE19" s="92"/>
      <c r="AF19" s="92"/>
      <c r="AG19" s="92"/>
      <c r="AH19" s="92"/>
    </row>
    <row r="20" spans="1:34" ht="39" customHeight="1">
      <c r="A20" s="1"/>
      <c r="B20" s="1"/>
      <c r="C20" s="294">
        <v>1</v>
      </c>
      <c r="D20" s="214" t="str" cm="1">
        <f t="array" ref="D20:O20">_xlfn.TEXTSPLIT(AA20, "|")</f>
        <v>en localité</v>
      </c>
      <c r="E20" s="214" t="str">
        <v>non</v>
      </c>
      <c r="F20" s="214" t="str">
        <v>3</v>
      </c>
      <c r="G20" s="214" t="str">
        <v>non</v>
      </c>
      <c r="H20" s="214" t="str">
        <v>non</v>
      </c>
      <c r="I20" s="214" t="str">
        <v>-</v>
      </c>
      <c r="J20" s="214" t="str">
        <v>-</v>
      </c>
      <c r="K20" s="214" t="str">
        <v>-</v>
      </c>
      <c r="L20" s="214" t="str">
        <v>-</v>
      </c>
      <c r="M20" s="214" t="str">
        <v>-</v>
      </c>
      <c r="N20" s="214" t="str">
        <v>-</v>
      </c>
      <c r="O20" s="214" t="str">
        <v>-</v>
      </c>
      <c r="P20" s="373">
        <f>COUNTIF('Étape 2 - Adéquation du tronçon'!$AK$16:$AK$215, AA20)</f>
        <v>28</v>
      </c>
      <c r="Q20" s="546" t="str" cm="1">
        <f t="array" ref="Q20">_xlfn.TEXTJOIN(", ", TRUE, _xlfn._xlws.FILTER(ROW('Étape 2 - Adéquation du tronçon'!AK16:AK215), 'Étape 2 - Adéquation du tronçon'!AK16:AK215 = AA20))</f>
        <v>17, 19, 20, 24, 25, 27, 28, 31, 33, 34, 35, 37, 38, 40, 41, 48, 49, 50, 54, 55, 59, 60, 62, 64, 73, 75, 76, 78</v>
      </c>
      <c r="R20" s="546"/>
      <c r="S20" s="533" t="s">
        <v>1676</v>
      </c>
      <c r="T20" s="534"/>
      <c r="U20" s="534"/>
      <c r="V20" s="534"/>
      <c r="W20" s="535"/>
      <c r="X20" s="348" t="s">
        <v>1674</v>
      </c>
      <c r="Y20" s="348" t="s">
        <v>1673</v>
      </c>
      <c r="Z20" s="1"/>
      <c r="AA20" s="1" t="str" cm="1">
        <f t="array" ref="AA20:AA41">_xlfn.UNIQUE('Étape 2 - Adéquation du tronçon'!AK24:AK223)</f>
        <v>en localité|non|3|non|non|-|-|-|-|-|-|-</v>
      </c>
      <c r="AB20" s="1"/>
      <c r="AC20" s="1"/>
      <c r="AD20" s="1"/>
      <c r="AE20" s="1"/>
      <c r="AF20" s="1"/>
      <c r="AG20" s="1"/>
      <c r="AH20" s="1"/>
    </row>
    <row r="21" spans="1:34" ht="39" customHeight="1">
      <c r="A21" s="1"/>
      <c r="B21" s="1"/>
      <c r="C21" s="294">
        <v>2</v>
      </c>
      <c r="D21" s="214" t="str" cm="1">
        <f t="array" ref="D21:O21">_xlfn.TEXTSPLIT(AA21, "|")</f>
        <v>en localité</v>
      </c>
      <c r="E21" s="214" t="str">
        <v>non</v>
      </c>
      <c r="F21" s="214" t="str">
        <v>3</v>
      </c>
      <c r="G21" s="214" t="str">
        <v>non</v>
      </c>
      <c r="H21" s="214" t="str">
        <v>oui</v>
      </c>
      <c r="I21" s="214" t="str">
        <v>-</v>
      </c>
      <c r="J21" s="214" t="str">
        <v>-</v>
      </c>
      <c r="K21" s="214" t="str">
        <v>-</v>
      </c>
      <c r="L21" s="214" t="str">
        <v>-</v>
      </c>
      <c r="M21" s="214" t="str">
        <v>-</v>
      </c>
      <c r="N21" s="214" t="str">
        <v>-</v>
      </c>
      <c r="O21" s="214" t="str">
        <v>-</v>
      </c>
      <c r="P21" s="373">
        <f>COUNTIF('Étape 2 - Adéquation du tronçon'!$AK$16:$AK$215, AA21)</f>
        <v>10</v>
      </c>
      <c r="Q21" s="537" t="str" cm="1">
        <f t="array" ref="Q21">_xlfn.TEXTJOIN(", ", TRUE, _xlfn._xlws.FILTER(ROW('Étape 2 - Adéquation du tronçon'!AK17:AK216), 'Étape 2 - Adéquation du tronçon'!AK17:AK216 = AA21))</f>
        <v>26, 36, 45, 46, 57, 58, 67, 69, 70, 71</v>
      </c>
      <c r="R21" s="537"/>
      <c r="S21" s="533" t="s">
        <v>1676</v>
      </c>
      <c r="T21" s="534"/>
      <c r="U21" s="534"/>
      <c r="V21" s="534"/>
      <c r="W21" s="535"/>
      <c r="X21" s="348" t="s">
        <v>1674</v>
      </c>
      <c r="Y21" s="348" t="s">
        <v>1673</v>
      </c>
      <c r="Z21" s="1"/>
      <c r="AA21" s="1" t="str">
        <v>en localité|non|3|non|oui|-|-|-|-|-|-|-</v>
      </c>
      <c r="AB21" s="1"/>
      <c r="AC21" s="1"/>
      <c r="AD21" s="1"/>
      <c r="AE21" s="1"/>
      <c r="AF21" s="1"/>
      <c r="AG21" s="1"/>
      <c r="AH21" s="1"/>
    </row>
    <row r="22" spans="1:34" ht="39" customHeight="1">
      <c r="A22" s="1"/>
      <c r="B22" s="1"/>
      <c r="C22" s="294">
        <v>3</v>
      </c>
      <c r="D22" s="214" t="str" cm="1">
        <f t="array" ref="D22:O22">_xlfn.TEXTSPLIT(AA22, "|")</f>
        <v>en localité</v>
      </c>
      <c r="E22" s="214" t="str">
        <v>non</v>
      </c>
      <c r="F22" s="214" t="str">
        <v>3</v>
      </c>
      <c r="G22" s="214" t="str">
        <v>oui</v>
      </c>
      <c r="H22" s="214" t="str">
        <v>oui</v>
      </c>
      <c r="I22" s="214" t="str">
        <v>-</v>
      </c>
      <c r="J22" s="214" t="str">
        <v>-</v>
      </c>
      <c r="K22" s="214" t="str">
        <v>-</v>
      </c>
      <c r="L22" s="214" t="str">
        <v>-</v>
      </c>
      <c r="M22" s="214" t="str">
        <v>-</v>
      </c>
      <c r="N22" s="214" t="str">
        <v>-</v>
      </c>
      <c r="O22" s="214" t="str">
        <v>-</v>
      </c>
      <c r="P22" s="373">
        <f>COUNTIF('Étape 2 - Adéquation du tronçon'!$AK$16:$AK$215, AA22)</f>
        <v>2</v>
      </c>
      <c r="Q22" s="537" t="str" cm="1">
        <f t="array" ref="Q22">_xlfn.TEXTJOIN(", ", TRUE, _xlfn._xlws.FILTER(ROW('Étape 2 - Adéquation du tronçon'!AK18:AK217), 'Étape 2 - Adéquation du tronçon'!AK18:AK217 = AA22))</f>
        <v>18, 29</v>
      </c>
      <c r="R22" s="537"/>
      <c r="S22" s="533" t="s">
        <v>1676</v>
      </c>
      <c r="T22" s="534"/>
      <c r="U22" s="534"/>
      <c r="V22" s="534"/>
      <c r="W22" s="535"/>
      <c r="X22" s="348" t="s">
        <v>1674</v>
      </c>
      <c r="Y22" s="348" t="s">
        <v>1673</v>
      </c>
      <c r="Z22" s="1"/>
      <c r="AA22" s="1" t="str">
        <v>en localité|non|3|oui|oui|-|-|-|-|-|-|-</v>
      </c>
      <c r="AB22" s="1"/>
      <c r="AC22" s="1"/>
      <c r="AD22" s="1"/>
      <c r="AE22" s="1"/>
      <c r="AF22" s="1"/>
      <c r="AG22" s="1"/>
      <c r="AH22" s="1"/>
    </row>
    <row r="23" spans="1:34" ht="39" customHeight="1">
      <c r="A23" s="1"/>
      <c r="B23" s="1"/>
      <c r="C23" s="294">
        <v>4</v>
      </c>
      <c r="D23" s="214" t="str" cm="1">
        <f t="array" ref="D23:O23">_xlfn.TEXTSPLIT(AA23, "|")</f>
        <v>hors localité</v>
      </c>
      <c r="E23" s="214" t="str">
        <v>non</v>
      </c>
      <c r="F23" s="214" t="str">
        <v>3</v>
      </c>
      <c r="G23" s="214" t="str">
        <v>oui</v>
      </c>
      <c r="H23" s="214" t="str">
        <v>oui</v>
      </c>
      <c r="I23" s="214" t="str">
        <v>-</v>
      </c>
      <c r="J23" s="214" t="str">
        <v>-</v>
      </c>
      <c r="K23" s="214" t="str">
        <v>-</v>
      </c>
      <c r="L23" s="214" t="str">
        <v>-</v>
      </c>
      <c r="M23" s="214" t="str">
        <v>-</v>
      </c>
      <c r="N23" s="214" t="str">
        <v>-</v>
      </c>
      <c r="O23" s="214" t="str">
        <v>-</v>
      </c>
      <c r="P23" s="373">
        <f>COUNTIF('Étape 2 - Adéquation du tronçon'!$AK$16:$AK$215, AA23)</f>
        <v>2</v>
      </c>
      <c r="Q23" s="537" t="str" cm="1">
        <f t="array" ref="Q23">_xlfn.TEXTJOIN(", ", TRUE, _xlfn._xlws.FILTER(ROW('Étape 2 - Adéquation du tronçon'!AK19:AK218), 'Étape 2 - Adéquation du tronçon'!AK19:AK218 = AA23))</f>
        <v>30, 66</v>
      </c>
      <c r="R23" s="537"/>
      <c r="S23" s="533" t="s">
        <v>1676</v>
      </c>
      <c r="T23" s="534"/>
      <c r="U23" s="534"/>
      <c r="V23" s="534"/>
      <c r="W23" s="535"/>
      <c r="X23" s="348" t="s">
        <v>1674</v>
      </c>
      <c r="Y23" s="348" t="s">
        <v>1673</v>
      </c>
      <c r="Z23" s="1"/>
      <c r="AA23" s="1" t="str">
        <v>hors localité|non|3|oui|oui|-|-|-|-|-|-|-</v>
      </c>
      <c r="AB23" s="1"/>
      <c r="AC23" s="1"/>
      <c r="AD23" s="1"/>
      <c r="AE23" s="1"/>
      <c r="AF23" s="1"/>
      <c r="AG23" s="1"/>
      <c r="AH23" s="1"/>
    </row>
    <row r="24" spans="1:34" ht="39" customHeight="1">
      <c r="A24" s="1"/>
      <c r="B24" s="1"/>
      <c r="C24" s="294">
        <v>5</v>
      </c>
      <c r="D24" s="214" t="str" cm="1">
        <f t="array" ref="D24:O24">_xlfn.TEXTSPLIT(AA24, "|")</f>
        <v>en localité</v>
      </c>
      <c r="E24" s="214" t="str">
        <v>non</v>
      </c>
      <c r="F24" s="214" t="str">
        <v>&gt;3</v>
      </c>
      <c r="G24" s="214" t="str">
        <v>oui</v>
      </c>
      <c r="H24" s="214" t="str">
        <v>non</v>
      </c>
      <c r="I24" s="214" t="str">
        <v>-</v>
      </c>
      <c r="J24" s="214" t="str">
        <v>-</v>
      </c>
      <c r="K24" s="214" t="str">
        <v>-</v>
      </c>
      <c r="L24" s="214" t="str">
        <v>-</v>
      </c>
      <c r="M24" s="214" t="str">
        <v>-</v>
      </c>
      <c r="N24" s="214" t="str">
        <v>-</v>
      </c>
      <c r="O24" s="214" t="str">
        <v>-</v>
      </c>
      <c r="P24" s="373">
        <f>COUNTIF('Étape 2 - Adéquation du tronçon'!$AK$16:$AK$215, AA24)</f>
        <v>5</v>
      </c>
      <c r="Q24" s="537" t="str" cm="1">
        <f t="array" ref="Q24">_xlfn.TEXTJOIN(", ", TRUE, _xlfn._xlws.FILTER(ROW('Étape 2 - Adéquation du tronçon'!AK20:AK219), 'Étape 2 - Adéquation du tronçon'!AK20:AK219 = AA24))</f>
        <v>21, 32, 61, 74, 80</v>
      </c>
      <c r="R24" s="537"/>
      <c r="S24" s="533" t="s">
        <v>1676</v>
      </c>
      <c r="T24" s="534"/>
      <c r="U24" s="534"/>
      <c r="V24" s="534"/>
      <c r="W24" s="535"/>
      <c r="X24" s="348" t="s">
        <v>1674</v>
      </c>
      <c r="Y24" s="348" t="s">
        <v>1673</v>
      </c>
      <c r="Z24" s="1"/>
      <c r="AA24" s="1" t="str">
        <v>en localité|non|&gt;3|oui|non|-|-|-|-|-|-|-</v>
      </c>
      <c r="AB24" s="1"/>
      <c r="AC24" s="1"/>
      <c r="AD24" s="1"/>
      <c r="AE24" s="1"/>
      <c r="AF24" s="1"/>
      <c r="AG24" s="1"/>
      <c r="AH24" s="1"/>
    </row>
    <row r="25" spans="1:34" ht="39" customHeight="1">
      <c r="A25" s="1"/>
      <c r="B25" s="1"/>
      <c r="C25" s="294">
        <v>6</v>
      </c>
      <c r="D25" s="214" t="str" cm="1">
        <f t="array" ref="D25:O25">_xlfn.TEXTSPLIT(AA25, "|")</f>
        <v>en localité</v>
      </c>
      <c r="E25" s="214" t="str">
        <v>non</v>
      </c>
      <c r="F25" s="214" t="str">
        <v>&gt;3</v>
      </c>
      <c r="G25" s="214" t="str">
        <v>non</v>
      </c>
      <c r="H25" s="214" t="str">
        <v>non</v>
      </c>
      <c r="I25" s="214" t="str">
        <v>-</v>
      </c>
      <c r="J25" s="214" t="str">
        <v>-</v>
      </c>
      <c r="K25" s="214" t="str">
        <v>-</v>
      </c>
      <c r="L25" s="214" t="str">
        <v>-</v>
      </c>
      <c r="M25" s="214" t="str">
        <v>-</v>
      </c>
      <c r="N25" s="214" t="str">
        <v>-</v>
      </c>
      <c r="O25" s="214" t="str">
        <v>-</v>
      </c>
      <c r="P25" s="373">
        <f>COUNTIF('Étape 2 - Adéquation du tronçon'!$AK$16:$AK$215, AA25)</f>
        <v>10</v>
      </c>
      <c r="Q25" s="537" t="str" cm="1">
        <f t="array" ref="Q25">_xlfn.TEXTJOIN(", ", TRUE, _xlfn._xlws.FILTER(ROW('Étape 2 - Adéquation du tronçon'!AK21:AK220), 'Étape 2 - Adéquation du tronçon'!AK21:AK220 = AA25))</f>
        <v>39, 43, 51, 52, 53, 63, 65, 77, 79</v>
      </c>
      <c r="R25" s="537"/>
      <c r="S25" s="533" t="s">
        <v>1676</v>
      </c>
      <c r="T25" s="534"/>
      <c r="U25" s="534"/>
      <c r="V25" s="534"/>
      <c r="W25" s="535"/>
      <c r="X25" s="348" t="s">
        <v>1674</v>
      </c>
      <c r="Y25" s="348" t="s">
        <v>1673</v>
      </c>
      <c r="Z25" s="1"/>
      <c r="AA25" s="1" t="str">
        <v>en localité|non|&gt;3|non|non|-|-|-|-|-|-|-</v>
      </c>
      <c r="AB25" s="1"/>
      <c r="AC25" s="1"/>
      <c r="AD25" s="1"/>
      <c r="AE25" s="1"/>
      <c r="AF25" s="1"/>
      <c r="AG25" s="1"/>
      <c r="AH25" s="1"/>
    </row>
    <row r="26" spans="1:34" ht="39" customHeight="1">
      <c r="A26" s="1"/>
      <c r="B26" s="1"/>
      <c r="C26" s="294">
        <v>7</v>
      </c>
      <c r="D26" s="214" t="str" cm="1">
        <f t="array" ref="D26:O26">_xlfn.TEXTSPLIT(AA26, "|")</f>
        <v>en localité</v>
      </c>
      <c r="E26" s="214" t="str">
        <v>non</v>
      </c>
      <c r="F26" s="214" t="str">
        <v>&gt;3</v>
      </c>
      <c r="G26" s="214" t="str">
        <v>non</v>
      </c>
      <c r="H26" s="214" t="str">
        <v>oui</v>
      </c>
      <c r="I26" s="214" t="str">
        <v>-</v>
      </c>
      <c r="J26" s="214" t="str">
        <v>-</v>
      </c>
      <c r="K26" s="214" t="str">
        <v>-</v>
      </c>
      <c r="L26" s="214" t="str">
        <v>-</v>
      </c>
      <c r="M26" s="214" t="str">
        <v>-</v>
      </c>
      <c r="N26" s="214" t="str">
        <v>-</v>
      </c>
      <c r="O26" s="214" t="str">
        <v>-</v>
      </c>
      <c r="P26" s="373">
        <f>COUNTIF('Étape 2 - Adéquation du tronçon'!$AK$16:$AK$215, AA26)</f>
        <v>5</v>
      </c>
      <c r="Q26" s="537" t="str" cm="1">
        <f t="array" ref="Q26">_xlfn.TEXTJOIN(", ", TRUE, _xlfn._xlws.FILTER(ROW('Étape 2 - Adéquation du tronçon'!AK22:AK221), 'Étape 2 - Adéquation du tronçon'!AK22:AK221 = AA26))</f>
        <v>23, 42, 44, 56, 72</v>
      </c>
      <c r="R26" s="537"/>
      <c r="S26" s="533" t="s">
        <v>1676</v>
      </c>
      <c r="T26" s="534"/>
      <c r="U26" s="534"/>
      <c r="V26" s="534"/>
      <c r="W26" s="535"/>
      <c r="X26" s="348" t="s">
        <v>1674</v>
      </c>
      <c r="Y26" s="348" t="s">
        <v>1673</v>
      </c>
      <c r="Z26" s="1"/>
      <c r="AA26" s="1" t="str">
        <v>en localité|non|&gt;3|non|oui|-|-|-|-|-|-|-</v>
      </c>
      <c r="AB26" s="1"/>
      <c r="AC26" s="1"/>
      <c r="AD26" s="1"/>
      <c r="AE26" s="1"/>
      <c r="AF26" s="1"/>
      <c r="AG26" s="1"/>
      <c r="AH26" s="1"/>
    </row>
    <row r="27" spans="1:34" ht="39" customHeight="1">
      <c r="A27" s="1"/>
      <c r="B27" s="1"/>
      <c r="C27" s="294">
        <v>8</v>
      </c>
      <c r="D27" s="214" t="str" cm="1">
        <f t="array" ref="D27:O27">_xlfn.TEXTSPLIT(AA27, "|")</f>
        <v>en localité</v>
      </c>
      <c r="E27" s="214" t="str">
        <v>non</v>
      </c>
      <c r="F27" s="214" t="str">
        <v>3</v>
      </c>
      <c r="G27" s="214" t="str">
        <v>oui</v>
      </c>
      <c r="H27" s="214" t="str">
        <v>non</v>
      </c>
      <c r="I27" s="214" t="str">
        <v>-</v>
      </c>
      <c r="J27" s="214" t="str">
        <v>-</v>
      </c>
      <c r="K27" s="214" t="str">
        <v>-</v>
      </c>
      <c r="L27" s="214" t="str">
        <v>-</v>
      </c>
      <c r="M27" s="214" t="str">
        <v>-</v>
      </c>
      <c r="N27" s="214" t="str">
        <v>-</v>
      </c>
      <c r="O27" s="214" t="str">
        <v>-</v>
      </c>
      <c r="P27" s="373">
        <f>COUNTIF('Étape 2 - Adéquation du tronçon'!$AK$16:$AK$215, AA27)</f>
        <v>1</v>
      </c>
      <c r="Q27" s="537" t="str" cm="1">
        <f t="array" ref="Q27">_xlfn.TEXTJOIN(", ", TRUE, _xlfn._xlws.FILTER(ROW('Étape 2 - Adéquation du tronçon'!AK23:AK222), 'Étape 2 - Adéquation du tronçon'!AK23:AK222 = AA27))</f>
        <v>47</v>
      </c>
      <c r="R27" s="537"/>
      <c r="S27" s="533" t="s">
        <v>1676</v>
      </c>
      <c r="T27" s="534"/>
      <c r="U27" s="534"/>
      <c r="V27" s="534"/>
      <c r="W27" s="535"/>
      <c r="X27" s="348" t="s">
        <v>1673</v>
      </c>
      <c r="Y27" s="348" t="s">
        <v>1674</v>
      </c>
      <c r="Z27" s="1"/>
      <c r="AA27" s="1" t="str">
        <v>en localité|non|3|oui|non|-|-|-|-|-|-|-</v>
      </c>
      <c r="AB27" s="1"/>
      <c r="AC27" s="1"/>
      <c r="AD27" s="1"/>
      <c r="AE27" s="1"/>
      <c r="AF27" s="1"/>
      <c r="AG27" s="1"/>
      <c r="AH27" s="1"/>
    </row>
    <row r="28" spans="1:34" ht="39" customHeight="1">
      <c r="A28" s="1"/>
      <c r="B28" s="1"/>
      <c r="C28" s="294">
        <v>9</v>
      </c>
      <c r="D28" s="214" t="str" cm="1">
        <f t="array" ref="D28:O28">_xlfn.TEXTSPLIT(AA28, "|")</f>
        <v>en localité</v>
      </c>
      <c r="E28" s="214" t="str">
        <v>non</v>
      </c>
      <c r="F28" s="214" t="str">
        <v>&gt;3</v>
      </c>
      <c r="G28" s="214" t="str">
        <v>oui</v>
      </c>
      <c r="H28" s="214" t="str">
        <v>oui</v>
      </c>
      <c r="I28" s="214" t="str">
        <v>-</v>
      </c>
      <c r="J28" s="214" t="str">
        <v>-</v>
      </c>
      <c r="K28" s="214" t="str">
        <v>-</v>
      </c>
      <c r="L28" s="214" t="str">
        <v>-</v>
      </c>
      <c r="M28" s="214" t="str">
        <v>-</v>
      </c>
      <c r="N28" s="214" t="str">
        <v>-</v>
      </c>
      <c r="O28" s="214" t="str">
        <v>-</v>
      </c>
      <c r="P28" s="373">
        <f>COUNTIF('Étape 2 - Adéquation du tronçon'!$AK$16:$AK$215, AA28)</f>
        <v>1</v>
      </c>
      <c r="Q28" s="537" t="str" cm="1">
        <f t="array" ref="Q28">_xlfn.TEXTJOIN(", ", TRUE, _xlfn._xlws.FILTER(ROW('Étape 2 - Adéquation du tronçon'!AK24:AK223), 'Étape 2 - Adéquation du tronçon'!AK24:AK223 = AA28))</f>
        <v>68</v>
      </c>
      <c r="R28" s="537"/>
      <c r="S28" s="533" t="s">
        <v>1676</v>
      </c>
      <c r="T28" s="534"/>
      <c r="U28" s="534"/>
      <c r="V28" s="534"/>
      <c r="W28" s="535"/>
      <c r="X28" s="348" t="s">
        <v>1674</v>
      </c>
      <c r="Y28" s="348" t="s">
        <v>1673</v>
      </c>
      <c r="Z28" s="1"/>
      <c r="AA28" s="1" t="str">
        <v>en localité|non|&gt;3|oui|oui|-|-|-|-|-|-|-</v>
      </c>
      <c r="AB28" s="1"/>
      <c r="AC28" s="1"/>
      <c r="AD28" s="1"/>
      <c r="AE28" s="1"/>
      <c r="AF28" s="1"/>
      <c r="AG28" s="1"/>
      <c r="AH28" s="1"/>
    </row>
    <row r="29" spans="1:34" ht="39" customHeight="1">
      <c r="A29" s="1"/>
      <c r="B29" s="1"/>
      <c r="C29" s="294">
        <v>10</v>
      </c>
      <c r="D29" s="214" t="str" cm="1">
        <f t="array" ref="D29:O29">_xlfn.TEXTSPLIT(AA29, "|")</f>
        <v>en localité</v>
      </c>
      <c r="E29" s="214" t="str">
        <v>-</v>
      </c>
      <c r="F29" s="214" t="str">
        <v>-</v>
      </c>
      <c r="G29" s="214" t="str">
        <v>-</v>
      </c>
      <c r="H29" s="214" t="str">
        <v>-</v>
      </c>
      <c r="I29" s="214" t="str">
        <v>Route Principale</v>
      </c>
      <c r="J29" s="214" t="str">
        <v>Circulation mixte</v>
      </c>
      <c r="K29" s="214" t="str">
        <v>oui</v>
      </c>
      <c r="L29" s="214" t="str">
        <v>oui</v>
      </c>
      <c r="M29" s="214" t="str">
        <v>oui</v>
      </c>
      <c r="N29" s="214" t="str">
        <v>Sans</v>
      </c>
      <c r="O29" s="214" t="str">
        <v>-</v>
      </c>
      <c r="P29" s="373">
        <f>COUNTIF('Étape 2 - Adéquation du tronçon'!$AK$16:$AK$215, AA29)</f>
        <v>11</v>
      </c>
      <c r="Q29" s="537" t="str" cm="1">
        <f t="array" ref="Q29">_xlfn.TEXTJOIN(", ", TRUE, _xlfn._xlws.FILTER(ROW('Étape 2 - Adéquation du tronçon'!AK25:AK223), 'Étape 2 - Adéquation du tronçon'!AK25:AK223 = AA29))</f>
        <v>81, 83, 84, 85, 86, 87, 89, 93, 94, 106, 107</v>
      </c>
      <c r="R29" s="537"/>
      <c r="S29" s="533" t="s">
        <v>1676</v>
      </c>
      <c r="T29" s="534"/>
      <c r="U29" s="534"/>
      <c r="V29" s="534"/>
      <c r="W29" s="535"/>
      <c r="X29" s="348" t="s">
        <v>1674</v>
      </c>
      <c r="Y29" s="348" t="s">
        <v>1673</v>
      </c>
      <c r="Z29" s="1"/>
      <c r="AA29" s="1" t="str">
        <v>en localité|-|-|-|-|Route Principale|Circulation mixte|oui|oui|oui|Sans|-</v>
      </c>
      <c r="AB29" s="1"/>
      <c r="AC29" s="1"/>
      <c r="AD29" s="1"/>
      <c r="AE29" s="1"/>
      <c r="AF29" s="1"/>
      <c r="AG29" s="1"/>
      <c r="AH29" s="1"/>
    </row>
    <row r="30" spans="1:34" ht="39" customHeight="1">
      <c r="A30" s="1"/>
      <c r="B30" s="1"/>
      <c r="C30" s="294">
        <v>11</v>
      </c>
      <c r="D30" s="214" t="str" cm="1">
        <f t="array" ref="D30:O30">_xlfn.TEXTSPLIT(AA30, "|")</f>
        <v>en localité</v>
      </c>
      <c r="E30" s="214" t="str">
        <v>-</v>
      </c>
      <c r="F30" s="214" t="str">
        <v>-</v>
      </c>
      <c r="G30" s="214" t="str">
        <v>-</v>
      </c>
      <c r="H30" s="214" t="str">
        <v>-</v>
      </c>
      <c r="I30" s="214" t="str">
        <v>Route Principale</v>
      </c>
      <c r="J30" s="214" t="str">
        <v>Circulation mixte</v>
      </c>
      <c r="K30" s="214" t="str">
        <v>oui</v>
      </c>
      <c r="L30" s="214" t="str">
        <v>oui</v>
      </c>
      <c r="M30" s="214" t="str">
        <v>oui</v>
      </c>
      <c r="N30" s="214" t="str">
        <v>Bande cyclable</v>
      </c>
      <c r="O30" s="214" t="str">
        <v>-</v>
      </c>
      <c r="P30" s="373">
        <f>COUNTIF('Étape 2 - Adéquation du tronçon'!$AK$16:$AK$215, AA30)</f>
        <v>2</v>
      </c>
      <c r="Q30" s="537" t="str" cm="1">
        <f t="array" ref="Q30">_xlfn.TEXTJOIN(", ", TRUE, _xlfn._xlws.FILTER(ROW('Étape 2 - Adéquation du tronçon'!AK26:AK223), 'Étape 2 - Adéquation du tronçon'!AK26:AK223 = AA30))</f>
        <v>82, 97</v>
      </c>
      <c r="R30" s="537"/>
      <c r="S30" s="533" t="s">
        <v>1676</v>
      </c>
      <c r="T30" s="534"/>
      <c r="U30" s="534"/>
      <c r="V30" s="534"/>
      <c r="W30" s="535"/>
      <c r="X30" s="348" t="s">
        <v>1674</v>
      </c>
      <c r="Y30" s="348" t="s">
        <v>1673</v>
      </c>
      <c r="Z30" s="1"/>
      <c r="AA30" s="1" t="str">
        <v>en localité|-|-|-|-|Route Principale|Circulation mixte|oui|oui|oui|Bande cyclable|-</v>
      </c>
      <c r="AB30" s="1"/>
      <c r="AC30" s="1"/>
      <c r="AD30" s="1"/>
      <c r="AE30" s="1"/>
      <c r="AF30" s="1"/>
      <c r="AG30" s="1"/>
      <c r="AH30" s="1"/>
    </row>
    <row r="31" spans="1:34" ht="39" customHeight="1">
      <c r="A31" s="1"/>
      <c r="B31" s="1"/>
      <c r="C31" s="294">
        <v>12</v>
      </c>
      <c r="D31" s="214" t="str" cm="1">
        <f t="array" ref="D31:O31">_xlfn.TEXTSPLIT(AA31, "|")</f>
        <v>en localité</v>
      </c>
      <c r="E31" s="214" t="str">
        <v>-</v>
      </c>
      <c r="F31" s="214" t="str">
        <v>-</v>
      </c>
      <c r="G31" s="214" t="str">
        <v>-</v>
      </c>
      <c r="H31" s="214" t="str">
        <v>-</v>
      </c>
      <c r="I31" s="214" t="str">
        <v>Route Principale</v>
      </c>
      <c r="J31" s="214" t="str">
        <v>Circulation mixte</v>
      </c>
      <c r="K31" s="214" t="str">
        <v>non</v>
      </c>
      <c r="L31" s="214" t="str">
        <v>oui</v>
      </c>
      <c r="M31" s="214" t="str">
        <v>oui</v>
      </c>
      <c r="N31" s="214" t="str">
        <v>Sans</v>
      </c>
      <c r="O31" s="214" t="str">
        <v>-</v>
      </c>
      <c r="P31" s="373">
        <f>COUNTIF('Étape 2 - Adéquation du tronçon'!$AK$16:$AK$215, AA31)</f>
        <v>6</v>
      </c>
      <c r="Q31" s="537" t="str" cm="1">
        <f t="array" ref="Q31">_xlfn.TEXTJOIN(", ", TRUE, _xlfn._xlws.FILTER(ROW('Étape 2 - Adéquation du tronçon'!AK27:AK223), 'Étape 2 - Adéquation du tronçon'!AK27:AK223 = AA31))</f>
        <v>88, 90, 91, 92, 104, 105</v>
      </c>
      <c r="R31" s="537"/>
      <c r="S31" s="533" t="s">
        <v>1676</v>
      </c>
      <c r="T31" s="534"/>
      <c r="U31" s="534"/>
      <c r="V31" s="534"/>
      <c r="W31" s="535"/>
      <c r="X31" s="348" t="s">
        <v>1674</v>
      </c>
      <c r="Y31" s="348" t="s">
        <v>1673</v>
      </c>
      <c r="Z31" s="1"/>
      <c r="AA31" s="1" t="str">
        <v>en localité|-|-|-|-|Route Principale|Circulation mixte|non|oui|oui|Sans|-</v>
      </c>
      <c r="AB31" s="1"/>
      <c r="AC31" s="1"/>
      <c r="AD31" s="1"/>
      <c r="AE31" s="1"/>
      <c r="AF31" s="1"/>
      <c r="AG31" s="1"/>
      <c r="AH31" s="1"/>
    </row>
    <row r="32" spans="1:34" ht="39" customHeight="1">
      <c r="A32" s="1"/>
      <c r="B32" s="1"/>
      <c r="C32" s="294">
        <v>13</v>
      </c>
      <c r="D32" s="214" t="str" cm="1">
        <f t="array" ref="D32:O32">_xlfn.TEXTSPLIT(AA32, "|")</f>
        <v>en localité</v>
      </c>
      <c r="E32" s="214" t="str">
        <v>-</v>
      </c>
      <c r="F32" s="214" t="str">
        <v>-</v>
      </c>
      <c r="G32" s="214" t="str">
        <v>-</v>
      </c>
      <c r="H32" s="214" t="str">
        <v>-</v>
      </c>
      <c r="I32" s="214" t="str">
        <v>Route Principale</v>
      </c>
      <c r="J32" s="214" t="str">
        <v>Circulation mixte</v>
      </c>
      <c r="K32" s="214" t="str">
        <v>non</v>
      </c>
      <c r="L32" s="214" t="str">
        <v>non</v>
      </c>
      <c r="M32" s="214" t="str">
        <v>oui</v>
      </c>
      <c r="N32" s="214" t="str">
        <v>Piste cyclable</v>
      </c>
      <c r="O32" s="214" t="str">
        <v>-</v>
      </c>
      <c r="P32" s="373">
        <f>COUNTIF('Étape 2 - Adéquation du tronçon'!$AK$16:$AK$215, AA32)</f>
        <v>4</v>
      </c>
      <c r="Q32" s="537" t="str" cm="1">
        <f t="array" ref="Q32">_xlfn.TEXTJOIN(", ", TRUE, _xlfn._xlws.FILTER(ROW('Étape 2 - Adéquation du tronçon'!AK28:AK223), 'Étape 2 - Adéquation du tronçon'!AK28:AK223 = AA32))</f>
        <v>95, 99, 101, 103</v>
      </c>
      <c r="R32" s="537"/>
      <c r="S32" s="533" t="s">
        <v>1676</v>
      </c>
      <c r="T32" s="534"/>
      <c r="U32" s="534"/>
      <c r="V32" s="534"/>
      <c r="W32" s="535"/>
      <c r="X32" s="348" t="s">
        <v>1674</v>
      </c>
      <c r="Y32" s="348" t="s">
        <v>1673</v>
      </c>
      <c r="Z32" s="1"/>
      <c r="AA32" s="1" t="str">
        <v>en localité|-|-|-|-|Route Principale|Circulation mixte|non|non|oui|Piste cyclable|-</v>
      </c>
      <c r="AB32" s="1"/>
      <c r="AC32" s="1"/>
      <c r="AD32" s="1"/>
      <c r="AE32" s="1"/>
      <c r="AF32" s="1"/>
      <c r="AG32" s="1"/>
      <c r="AH32" s="1"/>
    </row>
    <row r="33" spans="1:34" ht="39" customHeight="1">
      <c r="A33" s="1"/>
      <c r="B33" s="1"/>
      <c r="C33" s="294">
        <v>14</v>
      </c>
      <c r="D33" s="214" t="str" cm="1">
        <f t="array" ref="D33:O33">_xlfn.TEXTSPLIT(AA33, "|")</f>
        <v>en localité</v>
      </c>
      <c r="E33" s="214" t="str">
        <v>-</v>
      </c>
      <c r="F33" s="214" t="str">
        <v>-</v>
      </c>
      <c r="G33" s="214" t="str">
        <v>-</v>
      </c>
      <c r="H33" s="214" t="str">
        <v>-</v>
      </c>
      <c r="I33" s="214" t="str">
        <v>Route Principale</v>
      </c>
      <c r="J33" s="214" t="str">
        <v>Circulation mixte</v>
      </c>
      <c r="K33" s="214" t="str">
        <v>non</v>
      </c>
      <c r="L33" s="214" t="str">
        <v>oui</v>
      </c>
      <c r="M33" s="214" t="str">
        <v>oui</v>
      </c>
      <c r="N33" s="214" t="str">
        <v>Bande cyclable</v>
      </c>
      <c r="O33" s="214" t="str">
        <v>-</v>
      </c>
      <c r="P33" s="373">
        <f>COUNTIF('Étape 2 - Adéquation du tronçon'!$AK$16:$AK$215, AA33)</f>
        <v>3</v>
      </c>
      <c r="Q33" s="537" t="str" cm="1">
        <f t="array" ref="Q33">_xlfn.TEXTJOIN(", ", TRUE, _xlfn._xlws.FILTER(ROW('Étape 2 - Adéquation du tronçon'!AK29:AK223), 'Étape 2 - Adéquation du tronçon'!AK29:AK223 = AA33))</f>
        <v>96, 100, 102</v>
      </c>
      <c r="R33" s="537"/>
      <c r="S33" s="533" t="s">
        <v>1676</v>
      </c>
      <c r="T33" s="534"/>
      <c r="U33" s="534"/>
      <c r="V33" s="534"/>
      <c r="W33" s="535"/>
      <c r="X33" s="348" t="s">
        <v>1674</v>
      </c>
      <c r="Y33" s="348" t="s">
        <v>1673</v>
      </c>
      <c r="Z33" s="1"/>
      <c r="AA33" s="1" t="str">
        <v>en localité|-|-|-|-|Route Principale|Circulation mixte|non|oui|oui|Bande cyclable|-</v>
      </c>
      <c r="AB33" s="1"/>
      <c r="AC33" s="1"/>
      <c r="AD33" s="1"/>
      <c r="AE33" s="1"/>
      <c r="AF33" s="1"/>
      <c r="AG33" s="1"/>
      <c r="AH33" s="1"/>
    </row>
    <row r="34" spans="1:34" ht="39" customHeight="1">
      <c r="A34" s="1"/>
      <c r="B34" s="1"/>
      <c r="C34" s="294">
        <v>15</v>
      </c>
      <c r="D34" s="214" t="str" cm="1">
        <f t="array" ref="D34:O34">_xlfn.TEXTSPLIT(AA34, "|")</f>
        <v>hors localité</v>
      </c>
      <c r="E34" s="214" t="str">
        <v>-</v>
      </c>
      <c r="F34" s="214" t="str">
        <v>-</v>
      </c>
      <c r="G34" s="214" t="str">
        <v>-</v>
      </c>
      <c r="H34" s="214" t="str">
        <v>-</v>
      </c>
      <c r="I34" s="214" t="str">
        <v>Route Principale</v>
      </c>
      <c r="J34" s="214" t="str">
        <v>Circulation mixte</v>
      </c>
      <c r="K34" s="214" t="str">
        <v>non</v>
      </c>
      <c r="L34" s="214" t="str">
        <v>-</v>
      </c>
      <c r="M34" s="214" t="str">
        <v>-</v>
      </c>
      <c r="N34" s="214" t="str">
        <v>Piste cyclable</v>
      </c>
      <c r="O34" s="214" t="str">
        <v>-</v>
      </c>
      <c r="P34" s="373">
        <f>COUNTIF('Étape 2 - Adéquation du tronçon'!$AK$16:$AK$215, AA34)</f>
        <v>17</v>
      </c>
      <c r="Q34" s="537" t="str" cm="1">
        <f t="array" ref="Q34">_xlfn.TEXTJOIN(", ", TRUE, _xlfn._xlws.FILTER(ROW('Étape 2 - Adéquation du tronçon'!AK30:AK223), 'Étape 2 - Adéquation du tronçon'!AK30:AK223 = AA34))</f>
        <v>98, 115, 118, 130, 131, 132, 135, 136, 138, 139, 140, 142, 143, 144, 146, 149, 150</v>
      </c>
      <c r="R34" s="537"/>
      <c r="S34" s="533" t="s">
        <v>1676</v>
      </c>
      <c r="T34" s="534"/>
      <c r="U34" s="534"/>
      <c r="V34" s="534"/>
      <c r="W34" s="535"/>
      <c r="X34" s="348" t="s">
        <v>1674</v>
      </c>
      <c r="Y34" s="348" t="s">
        <v>1673</v>
      </c>
      <c r="Z34" s="1"/>
      <c r="AA34" s="1" t="str">
        <v>hors localité|-|-|-|-|Route Principale|Circulation mixte|non|-|-|Piste cyclable|-</v>
      </c>
      <c r="AB34" s="1"/>
      <c r="AC34" s="1"/>
      <c r="AD34" s="1"/>
      <c r="AE34" s="1"/>
      <c r="AF34" s="1"/>
      <c r="AG34" s="1"/>
      <c r="AH34" s="1"/>
    </row>
    <row r="35" spans="1:34" ht="39" customHeight="1">
      <c r="A35" s="1"/>
      <c r="B35" s="1"/>
      <c r="C35" s="294">
        <v>16</v>
      </c>
      <c r="D35" s="214" t="str" cm="1">
        <f t="array" ref="D35:O35">_xlfn.TEXTSPLIT(AA35, "|")</f>
        <v>en localité</v>
      </c>
      <c r="E35" s="214" t="str">
        <v>-</v>
      </c>
      <c r="F35" s="214" t="str">
        <v>-</v>
      </c>
      <c r="G35" s="214" t="str">
        <v>-</v>
      </c>
      <c r="H35" s="214" t="str">
        <v>-</v>
      </c>
      <c r="I35" s="214" t="str">
        <v>Route Principale</v>
      </c>
      <c r="J35" s="214" t="str">
        <v>Circulation mixte</v>
      </c>
      <c r="K35" s="214" t="str">
        <v>non</v>
      </c>
      <c r="L35" s="214" t="str">
        <v>non</v>
      </c>
      <c r="M35" s="214" t="str">
        <v>non</v>
      </c>
      <c r="N35" s="214" t="str">
        <v>Piste cyclable</v>
      </c>
      <c r="O35" s="214" t="str">
        <v>-</v>
      </c>
      <c r="P35" s="373">
        <f>COUNTIF('Étape 2 - Adéquation du tronçon'!$AK$16:$AK$215, AA35)</f>
        <v>19</v>
      </c>
      <c r="Q35" s="537" t="str" cm="1">
        <f t="array" ref="Q35">_xlfn.TEXTJOIN(", ", TRUE, _xlfn._xlws.FILTER(ROW('Étape 2 - Adéquation du tronçon'!AK31:AK223), 'Étape 2 - Adéquation du tronçon'!AK31:AK223 = AA35))</f>
        <v>108, 109, 110, 111, 112, 113, 114, 117, 119, 120, 121, 122, 123, 124, 125, 126, 127, 128, 129</v>
      </c>
      <c r="R35" s="537"/>
      <c r="S35" s="533" t="s">
        <v>1676</v>
      </c>
      <c r="T35" s="534"/>
      <c r="U35" s="534"/>
      <c r="V35" s="534"/>
      <c r="W35" s="535"/>
      <c r="X35" s="348" t="s">
        <v>1674</v>
      </c>
      <c r="Y35" s="348" t="s">
        <v>1673</v>
      </c>
      <c r="Z35" s="1"/>
      <c r="AA35" s="1" t="str">
        <v>en localité|-|-|-|-|Route Principale|Circulation mixte|non|non|non|Piste cyclable|-</v>
      </c>
      <c r="AB35" s="1"/>
      <c r="AC35" s="1"/>
      <c r="AD35" s="1"/>
      <c r="AE35" s="1"/>
      <c r="AF35" s="1"/>
      <c r="AG35" s="1"/>
      <c r="AH35" s="1"/>
    </row>
    <row r="36" spans="1:34" ht="39" customHeight="1">
      <c r="A36" s="1"/>
      <c r="B36" s="1"/>
      <c r="C36" s="294">
        <v>17</v>
      </c>
      <c r="D36" s="214" t="str" cm="1">
        <f t="array" ref="D36:O36">_xlfn.TEXTSPLIT(AA36, "|")</f>
        <v>hors localité</v>
      </c>
      <c r="E36" s="214" t="str">
        <v>-</v>
      </c>
      <c r="F36" s="214" t="str">
        <v>-</v>
      </c>
      <c r="G36" s="214" t="str">
        <v>-</v>
      </c>
      <c r="H36" s="214" t="str">
        <v>-</v>
      </c>
      <c r="I36" s="214" t="str">
        <v>Route Principale</v>
      </c>
      <c r="J36" s="214" t="str">
        <v>Circulation mixte</v>
      </c>
      <c r="K36" s="214" t="str">
        <v>oui</v>
      </c>
      <c r="L36" s="214" t="str">
        <v>-</v>
      </c>
      <c r="M36" s="214" t="str">
        <v>-</v>
      </c>
      <c r="N36" s="214" t="str">
        <v>Piste cyclable</v>
      </c>
      <c r="O36" s="214" t="str">
        <v>-</v>
      </c>
      <c r="P36" s="373">
        <f>COUNTIF('Étape 2 - Adéquation du tronçon'!$AK$16:$AK$215, AA36)</f>
        <v>1</v>
      </c>
      <c r="Q36" s="537" t="str" cm="1">
        <f t="array" ref="Q36">_xlfn.TEXTJOIN(", ", TRUE, _xlfn._xlws.FILTER(ROW('Étape 2 - Adéquation du tronçon'!AK32:AK223), 'Étape 2 - Adéquation du tronçon'!AK32:AK223 = AA36))</f>
        <v>116</v>
      </c>
      <c r="R36" s="537"/>
      <c r="S36" s="533" t="s">
        <v>1676</v>
      </c>
      <c r="T36" s="534"/>
      <c r="U36" s="534"/>
      <c r="V36" s="534"/>
      <c r="W36" s="535"/>
      <c r="X36" s="348" t="s">
        <v>1674</v>
      </c>
      <c r="Y36" s="348" t="s">
        <v>1673</v>
      </c>
      <c r="Z36" s="1"/>
      <c r="AA36" s="1" t="str">
        <v>hors localité|-|-|-|-|Route Principale|Circulation mixte|oui|-|-|Piste cyclable|-</v>
      </c>
      <c r="AB36" s="1"/>
      <c r="AC36" s="1"/>
      <c r="AD36" s="1"/>
      <c r="AE36" s="1"/>
      <c r="AF36" s="1"/>
      <c r="AG36" s="1"/>
      <c r="AH36" s="1"/>
    </row>
    <row r="37" spans="1:34" ht="39" customHeight="1">
      <c r="A37" s="1"/>
      <c r="B37" s="1"/>
      <c r="C37" s="294">
        <v>18</v>
      </c>
      <c r="D37" s="214" t="str" cm="1">
        <f t="array" ref="D37:O37">_xlfn.TEXTSPLIT(AA37, "|")</f>
        <v>hors localité</v>
      </c>
      <c r="E37" s="214" t="str">
        <v>-</v>
      </c>
      <c r="F37" s="214" t="str">
        <v>-</v>
      </c>
      <c r="G37" s="214" t="str">
        <v>-</v>
      </c>
      <c r="H37" s="214" t="str">
        <v>-</v>
      </c>
      <c r="I37" s="214" t="str">
        <v>Route Principale</v>
      </c>
      <c r="J37" s="214" t="str">
        <v>Circulation mixte</v>
      </c>
      <c r="K37" s="214" t="str">
        <v>non</v>
      </c>
      <c r="L37" s="214" t="str">
        <v>-</v>
      </c>
      <c r="M37" s="214" t="str">
        <v>-</v>
      </c>
      <c r="N37" s="214" t="str">
        <v>Sans</v>
      </c>
      <c r="O37" s="214" t="str">
        <v>-</v>
      </c>
      <c r="P37" s="373">
        <f>COUNTIF('Étape 2 - Adéquation du tronçon'!$AK$16:$AK$215, AA37)</f>
        <v>8</v>
      </c>
      <c r="Q37" s="537" t="str" cm="1">
        <f t="array" ref="Q37">_xlfn.TEXTJOIN(", ", TRUE, _xlfn._xlws.FILTER(ROW('Étape 2 - Adéquation du tronçon'!AK33:AK223), 'Étape 2 - Adéquation du tronçon'!AK33:AK223 = AA37))</f>
        <v>133, 134, 137, 141, 145, 147, 148, 151</v>
      </c>
      <c r="R37" s="537"/>
      <c r="S37" s="533" t="s">
        <v>1676</v>
      </c>
      <c r="T37" s="534"/>
      <c r="U37" s="534"/>
      <c r="V37" s="534"/>
      <c r="W37" s="535"/>
      <c r="X37" s="348" t="s">
        <v>1674</v>
      </c>
      <c r="Y37" s="348" t="s">
        <v>1673</v>
      </c>
      <c r="Z37" s="1"/>
      <c r="AA37" s="1" t="str">
        <v>hors localité|-|-|-|-|Route Principale|Circulation mixte|non|-|-|Sans|-</v>
      </c>
      <c r="AB37" s="1"/>
      <c r="AC37" s="1"/>
      <c r="AD37" s="1"/>
      <c r="AE37" s="1"/>
      <c r="AF37" s="1"/>
      <c r="AG37" s="1"/>
      <c r="AH37" s="1"/>
    </row>
    <row r="38" spans="1:34" ht="39" customHeight="1">
      <c r="A38" s="1"/>
      <c r="B38" s="1"/>
      <c r="C38" s="294">
        <v>19</v>
      </c>
      <c r="D38" s="214" t="str" cm="1">
        <f t="array" ref="D38:O38">_xlfn.TEXTSPLIT(AA38, "|")</f>
        <v>autoroute/route express</v>
      </c>
      <c r="E38" s="214" t="str">
        <v>-</v>
      </c>
      <c r="F38" s="214" t="str">
        <v>-</v>
      </c>
      <c r="G38" s="214" t="str">
        <v>-</v>
      </c>
      <c r="H38" s="214" t="str">
        <v>-</v>
      </c>
      <c r="I38" s="214" t="str">
        <v>Autoroute</v>
      </c>
      <c r="J38" s="214" t="str">
        <v>Tunnel</v>
      </c>
      <c r="K38" s="214" t="str">
        <v>-</v>
      </c>
      <c r="L38" s="214" t="str">
        <v>-</v>
      </c>
      <c r="M38" s="214" t="str">
        <v>-</v>
      </c>
      <c r="N38" s="214" t="str">
        <v>-</v>
      </c>
      <c r="O38" s="214" t="str">
        <v>-</v>
      </c>
      <c r="P38" s="373">
        <f>COUNTIF('Étape 2 - Adéquation du tronçon'!$AK$16:$AK$215, AA38)</f>
        <v>1</v>
      </c>
      <c r="Q38" s="537" t="str" cm="1">
        <f t="array" ref="Q38">_xlfn.TEXTJOIN(", ", TRUE, _xlfn._xlws.FILTER(ROW('Étape 2 - Adéquation du tronçon'!AK34:AK223), 'Étape 2 - Adéquation du tronçon'!AK34:AK223 = AA38))</f>
        <v>152</v>
      </c>
      <c r="R38" s="537"/>
      <c r="S38" s="533" t="s">
        <v>1676</v>
      </c>
      <c r="T38" s="534"/>
      <c r="U38" s="534"/>
      <c r="V38" s="534"/>
      <c r="W38" s="535"/>
      <c r="X38" s="348" t="s">
        <v>1674</v>
      </c>
      <c r="Y38" s="348" t="s">
        <v>1673</v>
      </c>
      <c r="Z38" s="1"/>
      <c r="AA38" s="1" t="str">
        <v>autoroute/route express|-|-|-|-|Autoroute|Tunnel|-|-|-|-|-</v>
      </c>
      <c r="AB38" s="1"/>
      <c r="AC38" s="1"/>
      <c r="AD38" s="1"/>
      <c r="AE38" s="1"/>
      <c r="AF38" s="1"/>
      <c r="AG38" s="1"/>
      <c r="AH38" s="1"/>
    </row>
    <row r="39" spans="1:34" ht="39" customHeight="1">
      <c r="A39" s="1"/>
      <c r="B39" s="1"/>
      <c r="C39" s="294">
        <v>20</v>
      </c>
      <c r="D39" s="214" t="str" cm="1">
        <f t="array" ref="D39:O39">_xlfn.TEXTSPLIT(AA39, "|")</f>
        <v>autoroute/route express</v>
      </c>
      <c r="E39" s="214" t="str">
        <v>-</v>
      </c>
      <c r="F39" s="214" t="str">
        <v>-</v>
      </c>
      <c r="G39" s="214" t="str">
        <v>-</v>
      </c>
      <c r="H39" s="214" t="str">
        <v>-</v>
      </c>
      <c r="I39" s="214" t="str">
        <v>Autoroute</v>
      </c>
      <c r="J39" s="214" t="str">
        <v>Circulation mixte</v>
      </c>
      <c r="K39" s="214" t="str">
        <v>-</v>
      </c>
      <c r="L39" s="214" t="str">
        <v>-</v>
      </c>
      <c r="M39" s="214" t="str">
        <v>-</v>
      </c>
      <c r="N39" s="214" t="str">
        <v>-</v>
      </c>
      <c r="O39" s="214" t="str">
        <v>&gt;2 voies dans chaque sens</v>
      </c>
      <c r="P39" s="373">
        <f>COUNTIF('Étape 2 - Adéquation du tronçon'!$AK$16:$AK$215, AA39)</f>
        <v>1</v>
      </c>
      <c r="Q39" s="537" t="str" cm="1">
        <f t="array" ref="Q39">_xlfn.TEXTJOIN(", ", TRUE, _xlfn._xlws.FILTER(ROW('Étape 2 - Adéquation du tronçon'!AK35:AK223), 'Étape 2 - Adéquation du tronçon'!AK35:AK223 = AA39))</f>
        <v>153</v>
      </c>
      <c r="R39" s="537"/>
      <c r="S39" s="533" t="s">
        <v>1676</v>
      </c>
      <c r="T39" s="534"/>
      <c r="U39" s="534"/>
      <c r="V39" s="534"/>
      <c r="W39" s="535"/>
      <c r="X39" s="348" t="s">
        <v>1674</v>
      </c>
      <c r="Y39" s="348" t="s">
        <v>1673</v>
      </c>
      <c r="Z39" s="1"/>
      <c r="AA39" s="1" t="str">
        <v>autoroute/route express|-|-|-|-|Autoroute|Circulation mixte|-|-|-|-|&gt;2 voies dans chaque sens</v>
      </c>
      <c r="AB39" s="1"/>
      <c r="AC39" s="1"/>
      <c r="AD39" s="1"/>
      <c r="AE39" s="1"/>
      <c r="AF39" s="1"/>
      <c r="AG39" s="1"/>
      <c r="AH39" s="1"/>
    </row>
    <row r="40" spans="1:34" ht="39" customHeight="1">
      <c r="A40" s="1"/>
      <c r="B40" s="1"/>
      <c r="C40" s="294">
        <v>21</v>
      </c>
      <c r="D40" s="214" t="str" cm="1">
        <f t="array" ref="D40:O40">_xlfn.TEXTSPLIT(AA40, "|")</f>
        <v/>
      </c>
      <c r="E40" s="214" t="str">
        <v>-</v>
      </c>
      <c r="F40" s="214" t="str">
        <v>-</v>
      </c>
      <c r="G40" s="214" t="str">
        <v>-</v>
      </c>
      <c r="H40" s="214" t="str">
        <v>-</v>
      </c>
      <c r="I40" s="214" t="str">
        <v>-</v>
      </c>
      <c r="J40" s="214" t="str">
        <v>-</v>
      </c>
      <c r="K40" s="214" t="str">
        <v>-</v>
      </c>
      <c r="L40" s="214" t="str">
        <v>-</v>
      </c>
      <c r="M40" s="214" t="str">
        <v>-</v>
      </c>
      <c r="N40" s="214" t="str">
        <v>-</v>
      </c>
      <c r="O40" s="214" t="str">
        <v>-</v>
      </c>
      <c r="P40" s="373">
        <f>COUNTIF('Étape 2 - Adéquation du tronçon'!$AK$16:$AK$215, AA40)</f>
        <v>62</v>
      </c>
      <c r="Q40" s="537" t="str" cm="1">
        <f t="array" ref="Q40">_xlfn.TEXTJOIN(", ", TRUE, _xlfn._xlws.FILTER(ROW('Étape 2 - Adéquation du tronçon'!AK36:AK223), 'Étape 2 - Adéquation du tronçon'!AK36:AK223 = AA40))</f>
        <v>154, 155, 156, 157, 158, 159, 160, 161, 162, 163, 164, 165, 166, 167, 168, 169, 170, 171, 172, 173, 174, 175, 176, 177, 178, 179, 180, 181, 182, 183, 184, 185, 186, 187, 188, 189, 190, 191, 192, 193, 194, 195, 196, 197, 198, 199, 200, 201, 202, 203, 204, 205, 206, 207, 208, 209, 210, 211, 212, 213, 214, 215</v>
      </c>
      <c r="R40" s="537"/>
      <c r="S40" s="533" t="s">
        <v>1676</v>
      </c>
      <c r="T40" s="534"/>
      <c r="U40" s="534"/>
      <c r="V40" s="534"/>
      <c r="W40" s="535"/>
      <c r="X40" s="348" t="s">
        <v>1674</v>
      </c>
      <c r="Y40" s="348" t="s">
        <v>1673</v>
      </c>
      <c r="Z40" s="1"/>
      <c r="AA40" s="1" t="str">
        <v>|-|-|-|-|-|-|-|-|-|-|-</v>
      </c>
      <c r="AB40" s="1"/>
      <c r="AC40" s="1"/>
      <c r="AD40" s="1"/>
      <c r="AE40" s="1"/>
      <c r="AF40" s="1"/>
      <c r="AG40" s="1"/>
      <c r="AH40" s="1"/>
    </row>
    <row r="41" spans="1:34" ht="39" customHeight="1">
      <c r="A41" s="1"/>
      <c r="B41" s="1"/>
      <c r="C41" s="294">
        <v>22</v>
      </c>
      <c r="D41" s="214" t="str" cm="1">
        <f t="array" ref="D41">_xlfn.TEXTSPLIT(AA41, "|")</f>
        <v>0</v>
      </c>
      <c r="E41" s="214"/>
      <c r="F41" s="214"/>
      <c r="G41" s="214"/>
      <c r="H41" s="214"/>
      <c r="I41" s="214"/>
      <c r="J41" s="214"/>
      <c r="K41" s="214"/>
      <c r="L41" s="214"/>
      <c r="M41" s="214"/>
      <c r="N41" s="214"/>
      <c r="O41" s="214"/>
      <c r="P41" s="373">
        <f>COUNTIF('Étape 2 - Adéquation du tronçon'!$AK$16:$AK$215, AA41)</f>
        <v>0</v>
      </c>
      <c r="Q41" s="537" t="str" cm="1">
        <f t="array" ref="Q41">_xlfn.TEXTJOIN(", ", TRUE, _xlfn._xlws.FILTER(ROW('Étape 2 - Adéquation du tronçon'!AK37:AK223), 'Étape 2 - Adéquation du tronçon'!AK37:AK223 = AA41))</f>
        <v>216, 217, 218, 219, 220, 221, 222, 223</v>
      </c>
      <c r="R41" s="537"/>
      <c r="S41" s="533" t="s">
        <v>1676</v>
      </c>
      <c r="T41" s="534"/>
      <c r="U41" s="534"/>
      <c r="V41" s="534"/>
      <c r="W41" s="535"/>
      <c r="X41" s="348" t="s">
        <v>1674</v>
      </c>
      <c r="Y41" s="348" t="s">
        <v>1673</v>
      </c>
      <c r="Z41" s="1"/>
      <c r="AA41" s="1">
        <v>0</v>
      </c>
      <c r="AB41" s="1"/>
      <c r="AC41" s="1"/>
      <c r="AD41" s="1"/>
      <c r="AE41" s="1"/>
      <c r="AF41" s="1"/>
      <c r="AG41" s="1"/>
      <c r="AH41" s="1"/>
    </row>
    <row r="42" spans="1:34" ht="39" customHeight="1">
      <c r="A42" s="1"/>
      <c r="B42" s="1"/>
      <c r="C42" s="294">
        <v>23</v>
      </c>
      <c r="D42" s="214" t="e" cm="1">
        <f t="array" ref="D42">_xlfn.TEXTSPLIT(AA42, "|")</f>
        <v>#VALUE!</v>
      </c>
      <c r="E42" s="214"/>
      <c r="F42" s="214"/>
      <c r="G42" s="214"/>
      <c r="H42" s="214"/>
      <c r="I42" s="214"/>
      <c r="J42" s="214"/>
      <c r="K42" s="214"/>
      <c r="L42" s="214"/>
      <c r="M42" s="214"/>
      <c r="N42" s="214"/>
      <c r="O42" s="214"/>
      <c r="P42" s="373">
        <f>COUNTIF('Étape 2 - Adéquation du tronçon'!$AK$16:$AK$215, AA42)</f>
        <v>0</v>
      </c>
      <c r="Q42" s="537" t="str" cm="1">
        <f t="array" ref="Q42">_xlfn.TEXTJOIN(", ", TRUE, _xlfn._xlws.FILTER(ROW('Étape 2 - Adéquation du tronçon'!AK38:AK223), 'Étape 2 - Adéquation du tronçon'!AK38:AK223 = AA42))</f>
        <v>216, 217, 218, 219, 220, 221, 222, 223</v>
      </c>
      <c r="R42" s="537"/>
      <c r="S42" s="533" t="s">
        <v>1676</v>
      </c>
      <c r="T42" s="534"/>
      <c r="U42" s="534"/>
      <c r="V42" s="534"/>
      <c r="W42" s="535"/>
      <c r="X42" s="348" t="s">
        <v>1674</v>
      </c>
      <c r="Y42" s="348" t="s">
        <v>1673</v>
      </c>
      <c r="Z42" s="1"/>
      <c r="AA42" s="1"/>
      <c r="AB42" s="1"/>
      <c r="AC42" s="1"/>
      <c r="AD42" s="1"/>
      <c r="AE42" s="1"/>
      <c r="AF42" s="1"/>
      <c r="AG42" s="1"/>
      <c r="AH42" s="1"/>
    </row>
    <row r="43" spans="1:34" ht="39" customHeight="1">
      <c r="A43" s="1"/>
      <c r="B43" s="1"/>
      <c r="C43" s="294">
        <v>24</v>
      </c>
      <c r="D43" s="214" t="e" cm="1">
        <f t="array" ref="D43">_xlfn.TEXTSPLIT(AA43, "|")</f>
        <v>#VALUE!</v>
      </c>
      <c r="E43" s="214"/>
      <c r="F43" s="214"/>
      <c r="G43" s="214"/>
      <c r="H43" s="214"/>
      <c r="I43" s="214"/>
      <c r="J43" s="214"/>
      <c r="K43" s="214"/>
      <c r="L43" s="214"/>
      <c r="M43" s="214"/>
      <c r="N43" s="214"/>
      <c r="O43" s="214"/>
      <c r="P43" s="373">
        <f>COUNTIF('Étape 2 - Adéquation du tronçon'!$AK$16:$AK$215, AA43)</f>
        <v>0</v>
      </c>
      <c r="Q43" s="537" t="str" cm="1">
        <f t="array" ref="Q43">_xlfn.TEXTJOIN(", ", TRUE, _xlfn._xlws.FILTER(ROW('Étape 2 - Adéquation du tronçon'!AK39:AK238), 'Étape 2 - Adéquation du tronçon'!AK39:AK238 = AA43))</f>
        <v>216, 217, 218, 219, 220, 221, 222, 223, 224, 225, 226, 227, 228, 229, 230, 231, 232, 233, 234, 235, 236, 237, 238</v>
      </c>
      <c r="R43" s="537"/>
      <c r="S43" s="533" t="s">
        <v>1676</v>
      </c>
      <c r="T43" s="534"/>
      <c r="U43" s="534"/>
      <c r="V43" s="534"/>
      <c r="W43" s="535"/>
      <c r="X43" s="348" t="s">
        <v>1674</v>
      </c>
      <c r="Y43" s="348" t="s">
        <v>1673</v>
      </c>
      <c r="Z43" s="1"/>
      <c r="AA43" s="1"/>
      <c r="AB43" s="1"/>
      <c r="AC43" s="1"/>
      <c r="AD43" s="1"/>
      <c r="AE43" s="1"/>
      <c r="AF43" s="1"/>
      <c r="AG43" s="1"/>
      <c r="AH43" s="1"/>
    </row>
    <row r="44" spans="1:34" ht="39" customHeight="1">
      <c r="A44" s="1"/>
      <c r="B44" s="1"/>
      <c r="C44" s="294">
        <v>25</v>
      </c>
      <c r="D44" s="214" t="e" cm="1">
        <f t="array" ref="D44">_xlfn.TEXTSPLIT(AA44, "|")</f>
        <v>#VALUE!</v>
      </c>
      <c r="E44" s="214"/>
      <c r="F44" s="214"/>
      <c r="G44" s="214"/>
      <c r="H44" s="214"/>
      <c r="I44" s="214"/>
      <c r="J44" s="214"/>
      <c r="K44" s="214"/>
      <c r="L44" s="214"/>
      <c r="M44" s="214"/>
      <c r="N44" s="214"/>
      <c r="O44" s="214"/>
      <c r="P44" s="373">
        <f>COUNTIF('Étape 2 - Adéquation du tronçon'!$AK$16:$AK$215, AA44)</f>
        <v>0</v>
      </c>
      <c r="Q44" s="537" t="str" cm="1">
        <f t="array" ref="Q44">_xlfn.TEXTJOIN(", ", TRUE, _xlfn._xlws.FILTER(ROW('Étape 2 - Adéquation du tronçon'!AK40:AK239), 'Étape 2 - Adéquation du tronçon'!AK40:AK239 = AA44))</f>
        <v>216, 217, 218, 219, 220, 221, 222, 223, 224, 225, 226, 227, 228, 229, 230, 231, 232, 233, 234, 235, 236, 237, 238, 239</v>
      </c>
      <c r="R44" s="537"/>
      <c r="S44" s="533" t="s">
        <v>1676</v>
      </c>
      <c r="T44" s="534"/>
      <c r="U44" s="534"/>
      <c r="V44" s="534"/>
      <c r="W44" s="535"/>
      <c r="X44" s="348" t="s">
        <v>1674</v>
      </c>
      <c r="Y44" s="348" t="s">
        <v>1673</v>
      </c>
      <c r="Z44" s="1"/>
      <c r="AA44" s="1"/>
      <c r="AB44" s="1"/>
      <c r="AC44" s="1"/>
      <c r="AD44" s="1"/>
      <c r="AE44" s="1"/>
      <c r="AF44" s="1"/>
      <c r="AG44" s="1"/>
      <c r="AH44" s="1"/>
    </row>
    <row r="45" spans="1:34" ht="39" customHeight="1">
      <c r="A45" s="1"/>
      <c r="B45" s="1"/>
      <c r="C45" s="294">
        <v>26</v>
      </c>
      <c r="D45" s="214" t="e" cm="1">
        <f t="array" ref="D45">_xlfn.TEXTSPLIT(AA45, "|")</f>
        <v>#VALUE!</v>
      </c>
      <c r="E45" s="214"/>
      <c r="F45" s="214"/>
      <c r="G45" s="214"/>
      <c r="H45" s="214"/>
      <c r="I45" s="214"/>
      <c r="J45" s="214"/>
      <c r="K45" s="214"/>
      <c r="L45" s="214"/>
      <c r="M45" s="214"/>
      <c r="N45" s="214"/>
      <c r="O45" s="214"/>
      <c r="P45" s="373">
        <f>COUNTIF('Étape 2 - Adéquation du tronçon'!$AK$16:$AK$215, AA45)</f>
        <v>0</v>
      </c>
      <c r="Q45" s="537" t="str" cm="1">
        <f t="array" ref="Q45">_xlfn.TEXTJOIN(", ", TRUE, _xlfn._xlws.FILTER(ROW('Étape 2 - Adéquation du tronçon'!AK41:AK240), 'Étape 2 - Adéquation du tronçon'!AK41:AK240 = AA45))</f>
        <v>216, 217, 218, 219, 220, 221, 222, 223, 224, 225, 226, 227, 228, 229, 230, 231, 232, 233, 234, 235, 236, 237, 238, 239, 240</v>
      </c>
      <c r="R45" s="537"/>
      <c r="S45" s="533" t="s">
        <v>1676</v>
      </c>
      <c r="T45" s="534"/>
      <c r="U45" s="534"/>
      <c r="V45" s="534"/>
      <c r="W45" s="535"/>
      <c r="X45" s="348" t="s">
        <v>1674</v>
      </c>
      <c r="Y45" s="348" t="s">
        <v>1673</v>
      </c>
      <c r="Z45" s="1"/>
      <c r="AA45" s="1"/>
      <c r="AB45" s="1"/>
      <c r="AC45" s="1"/>
      <c r="AD45" s="1"/>
      <c r="AE45" s="1"/>
      <c r="AF45" s="1"/>
      <c r="AG45" s="1"/>
      <c r="AH45" s="1"/>
    </row>
    <row r="46" spans="1:34" ht="39" customHeight="1">
      <c r="A46" s="1"/>
      <c r="B46" s="1"/>
      <c r="C46" s="294">
        <v>27</v>
      </c>
      <c r="D46" s="214" t="e" cm="1">
        <f t="array" ref="D46">_xlfn.TEXTSPLIT(AA46, "|")</f>
        <v>#VALUE!</v>
      </c>
      <c r="E46" s="214"/>
      <c r="F46" s="214"/>
      <c r="G46" s="214"/>
      <c r="H46" s="214"/>
      <c r="I46" s="214"/>
      <c r="J46" s="214"/>
      <c r="K46" s="214"/>
      <c r="L46" s="214"/>
      <c r="M46" s="214"/>
      <c r="N46" s="214"/>
      <c r="O46" s="214"/>
      <c r="P46" s="373">
        <f>COUNTIF('Étape 2 - Adéquation du tronçon'!$AK$16:$AK$215, AA46)</f>
        <v>0</v>
      </c>
      <c r="Q46" s="537" t="str" cm="1">
        <f t="array" ref="Q46">_xlfn.TEXTJOIN(", ", TRUE, _xlfn._xlws.FILTER(ROW('Étape 2 - Adéquation du tronçon'!AK42:AK241), 'Étape 2 - Adéquation du tronçon'!AK42:AK241 = AA46))</f>
        <v>216, 217, 218, 219, 220, 221, 222, 223, 224, 225, 226, 227, 228, 229, 230, 231, 232, 233, 234, 235, 236, 237, 238, 239, 240, 241</v>
      </c>
      <c r="R46" s="537"/>
      <c r="S46" s="533" t="s">
        <v>1676</v>
      </c>
      <c r="T46" s="534"/>
      <c r="U46" s="534"/>
      <c r="V46" s="534"/>
      <c r="W46" s="535"/>
      <c r="X46" s="348" t="s">
        <v>1674</v>
      </c>
      <c r="Y46" s="348" t="s">
        <v>1673</v>
      </c>
      <c r="Z46" s="1"/>
      <c r="AA46" s="1"/>
      <c r="AB46" s="1"/>
      <c r="AC46" s="1"/>
      <c r="AD46" s="1"/>
      <c r="AE46" s="1"/>
      <c r="AF46" s="1"/>
      <c r="AG46" s="1"/>
      <c r="AH46" s="1"/>
    </row>
    <row r="47" spans="1:34" ht="39" customHeight="1">
      <c r="A47" s="1"/>
      <c r="B47" s="1"/>
      <c r="C47" s="294">
        <v>28</v>
      </c>
      <c r="D47" s="214" t="e" cm="1">
        <f t="array" ref="D47">_xlfn.TEXTSPLIT(AA47, "|")</f>
        <v>#VALUE!</v>
      </c>
      <c r="E47" s="214"/>
      <c r="F47" s="214"/>
      <c r="G47" s="214"/>
      <c r="H47" s="214"/>
      <c r="I47" s="214"/>
      <c r="J47" s="214"/>
      <c r="K47" s="214"/>
      <c r="L47" s="214"/>
      <c r="M47" s="214"/>
      <c r="N47" s="214"/>
      <c r="O47" s="214"/>
      <c r="P47" s="373">
        <f>COUNTIF('Étape 2 - Adéquation du tronçon'!$AK$16:$AK$215, AA47)</f>
        <v>0</v>
      </c>
      <c r="Q47" s="537" t="str" cm="1">
        <f t="array" ref="Q47">_xlfn.TEXTJOIN(", ", TRUE, _xlfn._xlws.FILTER(ROW('Étape 2 - Adéquation du tronçon'!AK43:AK242), 'Étape 2 - Adéquation du tronçon'!AK43:AK242 = AA47))</f>
        <v>216, 217, 218, 219, 220, 221, 222, 223, 224, 225, 226, 227, 228, 229, 230, 231, 232, 233, 234, 235, 236, 237, 238, 239, 240, 241, 242</v>
      </c>
      <c r="R47" s="537"/>
      <c r="S47" s="533" t="s">
        <v>1676</v>
      </c>
      <c r="T47" s="534"/>
      <c r="U47" s="534"/>
      <c r="V47" s="534"/>
      <c r="W47" s="535"/>
      <c r="X47" s="348" t="s">
        <v>1674</v>
      </c>
      <c r="Y47" s="348" t="s">
        <v>1673</v>
      </c>
      <c r="Z47" s="1"/>
      <c r="AA47" s="1"/>
      <c r="AB47" s="1"/>
      <c r="AC47" s="1"/>
      <c r="AD47" s="1"/>
      <c r="AE47" s="1"/>
      <c r="AF47" s="1"/>
      <c r="AG47" s="1"/>
      <c r="AH47" s="1"/>
    </row>
    <row r="48" spans="1:34" ht="39" customHeight="1">
      <c r="A48" s="1"/>
      <c r="B48" s="1"/>
      <c r="C48" s="294">
        <v>29</v>
      </c>
      <c r="D48" s="214" t="e" cm="1">
        <f t="array" ref="D48">_xlfn.TEXTSPLIT(AA48, "|")</f>
        <v>#VALUE!</v>
      </c>
      <c r="E48" s="214"/>
      <c r="F48" s="214"/>
      <c r="G48" s="214"/>
      <c r="H48" s="214"/>
      <c r="I48" s="214"/>
      <c r="J48" s="214"/>
      <c r="K48" s="214"/>
      <c r="L48" s="214"/>
      <c r="M48" s="214"/>
      <c r="N48" s="214"/>
      <c r="O48" s="214"/>
      <c r="P48" s="373">
        <f>COUNTIF('Étape 2 - Adéquation du tronçon'!$AK$16:$AK$215, AA48)</f>
        <v>0</v>
      </c>
      <c r="Q48" s="537" t="str" cm="1">
        <f t="array" ref="Q48">_xlfn.TEXTJOIN(", ", TRUE, _xlfn._xlws.FILTER(ROW('Étape 2 - Adéquation du tronçon'!AK44:AK243), 'Étape 2 - Adéquation du tronçon'!AK44:AK243 = AA48))</f>
        <v>216, 217, 218, 219, 220, 221, 222, 223, 224, 225, 226, 227, 228, 229, 230, 231, 232, 233, 234, 235, 236, 237, 238, 239, 240, 241, 242, 243</v>
      </c>
      <c r="R48" s="537"/>
      <c r="S48" s="533" t="s">
        <v>1676</v>
      </c>
      <c r="T48" s="534"/>
      <c r="U48" s="534"/>
      <c r="V48" s="534"/>
      <c r="W48" s="535"/>
      <c r="X48" s="348" t="s">
        <v>1674</v>
      </c>
      <c r="Y48" s="348" t="s">
        <v>1673</v>
      </c>
      <c r="Z48" s="1"/>
      <c r="AA48" s="1"/>
      <c r="AB48" s="1"/>
      <c r="AC48" s="1"/>
      <c r="AD48" s="1"/>
      <c r="AE48" s="1"/>
      <c r="AF48" s="1"/>
      <c r="AG48" s="1"/>
      <c r="AH48" s="1"/>
    </row>
    <row r="49" spans="1:35" ht="39" customHeight="1">
      <c r="A49" s="1"/>
      <c r="B49" s="1"/>
      <c r="C49" s="294">
        <v>30</v>
      </c>
      <c r="D49" s="214" t="e" cm="1">
        <f t="array" ref="D49">_xlfn.TEXTSPLIT(AA49, "|")</f>
        <v>#VALUE!</v>
      </c>
      <c r="E49" s="214"/>
      <c r="F49" s="214"/>
      <c r="G49" s="214"/>
      <c r="H49" s="214"/>
      <c r="I49" s="214"/>
      <c r="J49" s="214"/>
      <c r="K49" s="214"/>
      <c r="L49" s="214"/>
      <c r="M49" s="214"/>
      <c r="N49" s="214"/>
      <c r="O49" s="214"/>
      <c r="P49" s="373">
        <f>COUNTIF('Étape 2 - Adéquation du tronçon'!$AK$16:$AK$215, AA49)</f>
        <v>0</v>
      </c>
      <c r="Q49" s="537" t="str" cm="1">
        <f t="array" ref="Q49">_xlfn.TEXTJOIN(", ", TRUE, _xlfn._xlws.FILTER(ROW('Étape 2 - Adéquation du tronçon'!AK45:AK244), 'Étape 2 - Adéquation du tronçon'!AK45:AK244 = AA49))</f>
        <v>216, 217, 218, 219, 220, 221, 222, 223, 224, 225, 226, 227, 228, 229, 230, 231, 232, 233, 234, 235, 236, 237, 238, 239, 240, 241, 242, 243, 244</v>
      </c>
      <c r="R49" s="537"/>
      <c r="S49" s="533" t="s">
        <v>1676</v>
      </c>
      <c r="T49" s="534"/>
      <c r="U49" s="534"/>
      <c r="V49" s="534"/>
      <c r="W49" s="535"/>
      <c r="X49" s="348" t="s">
        <v>1674</v>
      </c>
      <c r="Y49" s="348" t="s">
        <v>1673</v>
      </c>
      <c r="Z49" s="1"/>
      <c r="AA49" s="1"/>
      <c r="AB49" s="1"/>
      <c r="AC49" s="1"/>
      <c r="AD49" s="1"/>
      <c r="AE49" s="1"/>
      <c r="AF49" s="1"/>
      <c r="AG49" s="1"/>
      <c r="AH49" s="1"/>
    </row>
    <row r="50" spans="1:35" ht="39" customHeight="1">
      <c r="A50" s="1"/>
      <c r="B50" s="1"/>
      <c r="C50" s="294">
        <v>31</v>
      </c>
      <c r="D50" s="214" t="e" cm="1">
        <f t="array" ref="D50">_xlfn.TEXTSPLIT(AA50, "|")</f>
        <v>#VALUE!</v>
      </c>
      <c r="E50" s="214"/>
      <c r="F50" s="214"/>
      <c r="G50" s="214"/>
      <c r="H50" s="214"/>
      <c r="I50" s="214"/>
      <c r="J50" s="214"/>
      <c r="K50" s="214"/>
      <c r="L50" s="214"/>
      <c r="M50" s="214"/>
      <c r="N50" s="214"/>
      <c r="O50" s="214"/>
      <c r="P50" s="373">
        <f>COUNTIF('Étape 2 - Adéquation du tronçon'!$AK$16:$AK$215, AA50)</f>
        <v>0</v>
      </c>
      <c r="Q50" s="537" t="str" cm="1">
        <f t="array" ref="Q50">_xlfn.TEXTJOIN(", ", TRUE, _xlfn._xlws.FILTER(ROW('Étape 2 - Adéquation du tronçon'!AK46:AK245), 'Étape 2 - Adéquation du tronçon'!AK46:AK245 = AA50))</f>
        <v>216, 217, 218, 219, 220, 221, 222, 223, 224, 225, 226, 227, 228, 229, 230, 231, 232, 233, 234, 235, 236, 237, 238, 239, 240, 241, 242, 243, 244, 245</v>
      </c>
      <c r="R50" s="537"/>
      <c r="S50" s="533" t="s">
        <v>1676</v>
      </c>
      <c r="T50" s="534"/>
      <c r="U50" s="534"/>
      <c r="V50" s="534"/>
      <c r="W50" s="535"/>
      <c r="X50" s="348" t="s">
        <v>1674</v>
      </c>
      <c r="Y50" s="348" t="s">
        <v>1673</v>
      </c>
      <c r="Z50" s="1"/>
      <c r="AA50" s="1"/>
      <c r="AB50" s="1"/>
      <c r="AC50" s="1"/>
      <c r="AD50" s="1"/>
      <c r="AE50" s="1"/>
      <c r="AF50" s="1"/>
      <c r="AG50" s="1"/>
      <c r="AH50" s="1"/>
    </row>
    <row r="51" spans="1:35" ht="39" customHeight="1">
      <c r="A51" s="1"/>
      <c r="B51" s="1"/>
      <c r="C51" s="294">
        <v>32</v>
      </c>
      <c r="D51" s="214" t="e" cm="1">
        <f t="array" ref="D51">_xlfn.TEXTSPLIT(AA51, "|")</f>
        <v>#VALUE!</v>
      </c>
      <c r="E51" s="214"/>
      <c r="F51" s="214"/>
      <c r="G51" s="214"/>
      <c r="H51" s="214"/>
      <c r="I51" s="214"/>
      <c r="J51" s="214"/>
      <c r="K51" s="214"/>
      <c r="L51" s="214"/>
      <c r="M51" s="214"/>
      <c r="N51" s="214"/>
      <c r="O51" s="214"/>
      <c r="P51" s="373">
        <f>COUNTIF('Étape 2 - Adéquation du tronçon'!$AK$16:$AK$215, AA51)</f>
        <v>0</v>
      </c>
      <c r="Q51" s="537" t="str" cm="1">
        <f t="array" ref="Q51">_xlfn.TEXTJOIN(", ", TRUE, _xlfn._xlws.FILTER(ROW('Étape 2 - Adéquation du tronçon'!AK47:AK246), 'Étape 2 - Adéquation du tronçon'!AK47:AK246 = AA51))</f>
        <v>216, 217, 218, 219, 220, 221, 222, 223, 224, 225, 226, 227, 228, 229, 230, 231, 232, 233, 234, 235, 236, 237, 238, 239, 240, 241, 242, 243, 244, 245, 246</v>
      </c>
      <c r="R51" s="537"/>
      <c r="S51" s="533" t="s">
        <v>1676</v>
      </c>
      <c r="T51" s="534"/>
      <c r="U51" s="534"/>
      <c r="V51" s="534"/>
      <c r="W51" s="535"/>
      <c r="X51" s="348" t="s">
        <v>1674</v>
      </c>
      <c r="Y51" s="348" t="s">
        <v>1673</v>
      </c>
      <c r="Z51" s="1"/>
      <c r="AA51" s="1"/>
      <c r="AB51" s="1"/>
      <c r="AC51" s="1"/>
      <c r="AD51" s="1"/>
      <c r="AE51" s="1"/>
      <c r="AF51" s="1"/>
      <c r="AG51" s="1"/>
      <c r="AH51" s="1"/>
    </row>
    <row r="52" spans="1:35" ht="39" customHeight="1">
      <c r="A52" s="1"/>
      <c r="B52" s="1"/>
      <c r="C52" s="294">
        <v>33</v>
      </c>
      <c r="D52" s="214" t="e" cm="1">
        <f t="array" ref="D52">_xlfn.TEXTSPLIT(AA52, "|")</f>
        <v>#VALUE!</v>
      </c>
      <c r="E52" s="214"/>
      <c r="F52" s="214"/>
      <c r="G52" s="214"/>
      <c r="H52" s="214"/>
      <c r="I52" s="214"/>
      <c r="J52" s="214"/>
      <c r="K52" s="214"/>
      <c r="L52" s="214"/>
      <c r="M52" s="214"/>
      <c r="N52" s="214"/>
      <c r="O52" s="214"/>
      <c r="P52" s="373">
        <f>COUNTIF('Étape 2 - Adéquation du tronçon'!$AK$16:$AK$215, AA52)</f>
        <v>0</v>
      </c>
      <c r="Q52" s="537" t="str" cm="1">
        <f t="array" ref="Q52">_xlfn.TEXTJOIN(", ", TRUE, _xlfn._xlws.FILTER(ROW('Étape 2 - Adéquation du tronçon'!AK48:AK247), 'Étape 2 - Adéquation du tronçon'!AK48:AK247 = AA52))</f>
        <v>216, 217, 218, 219, 220, 221, 222, 223, 224, 225, 226, 227, 228, 229, 230, 231, 232, 233, 234, 235, 236, 237, 238, 239, 240, 241, 242, 243, 244, 245, 246, 247</v>
      </c>
      <c r="R52" s="537"/>
      <c r="S52" s="533" t="s">
        <v>1676</v>
      </c>
      <c r="T52" s="534"/>
      <c r="U52" s="534"/>
      <c r="V52" s="534"/>
      <c r="W52" s="535"/>
      <c r="X52" s="348" t="s">
        <v>1674</v>
      </c>
      <c r="Y52" s="348" t="s">
        <v>1673</v>
      </c>
      <c r="Z52" s="1"/>
      <c r="AA52" s="1"/>
      <c r="AB52" s="1"/>
      <c r="AC52" s="1"/>
      <c r="AD52" s="1"/>
      <c r="AE52" s="1"/>
      <c r="AF52" s="1"/>
      <c r="AG52" s="1"/>
      <c r="AH52" s="1"/>
    </row>
    <row r="53" spans="1:35" ht="39" customHeight="1">
      <c r="A53" s="1"/>
      <c r="B53" s="1"/>
      <c r="C53" s="294">
        <v>34</v>
      </c>
      <c r="D53" s="214" t="e" cm="1">
        <f t="array" ref="D53">_xlfn.TEXTSPLIT(AA53, "|")</f>
        <v>#VALUE!</v>
      </c>
      <c r="E53" s="214"/>
      <c r="F53" s="214"/>
      <c r="G53" s="214"/>
      <c r="H53" s="214"/>
      <c r="I53" s="214"/>
      <c r="J53" s="214"/>
      <c r="K53" s="214"/>
      <c r="L53" s="214"/>
      <c r="M53" s="214"/>
      <c r="N53" s="214"/>
      <c r="O53" s="214"/>
      <c r="P53" s="373">
        <f>COUNTIF('Étape 2 - Adéquation du tronçon'!$AK$16:$AK$215, AA53)</f>
        <v>0</v>
      </c>
      <c r="Q53" s="537" t="str" cm="1">
        <f t="array" ref="Q53">_xlfn.TEXTJOIN(", ", TRUE, _xlfn._xlws.FILTER(ROW('Étape 2 - Adéquation du tronçon'!AK49:AK248), 'Étape 2 - Adéquation du tronçon'!AK49:AK248 = AA53))</f>
        <v>216, 217, 218, 219, 220, 221, 222, 223, 224, 225, 226, 227, 228, 229, 230, 231, 232, 233, 234, 235, 236, 237, 238, 239, 240, 241, 242, 243, 244, 245, 246, 247, 248</v>
      </c>
      <c r="R53" s="537"/>
      <c r="S53" s="533" t="s">
        <v>1676</v>
      </c>
      <c r="T53" s="534"/>
      <c r="U53" s="534"/>
      <c r="V53" s="534"/>
      <c r="W53" s="535"/>
      <c r="X53" s="348" t="s">
        <v>1674</v>
      </c>
      <c r="Y53" s="348" t="s">
        <v>1673</v>
      </c>
      <c r="Z53" s="1"/>
      <c r="AA53" s="1"/>
      <c r="AB53" s="1"/>
      <c r="AC53" s="1"/>
      <c r="AD53" s="1"/>
      <c r="AE53" s="1"/>
      <c r="AF53" s="1"/>
      <c r="AG53" s="1"/>
      <c r="AH53" s="1"/>
    </row>
    <row r="54" spans="1:35" ht="39" customHeight="1">
      <c r="A54" s="1"/>
      <c r="B54" s="1"/>
      <c r="C54" s="294">
        <v>35</v>
      </c>
      <c r="D54" s="214" t="e" cm="1">
        <f t="array" ref="D54">_xlfn.TEXTSPLIT(AA54, "|")</f>
        <v>#VALUE!</v>
      </c>
      <c r="E54" s="214"/>
      <c r="F54" s="214"/>
      <c r="G54" s="214"/>
      <c r="H54" s="214"/>
      <c r="I54" s="214"/>
      <c r="J54" s="214"/>
      <c r="K54" s="214"/>
      <c r="L54" s="214"/>
      <c r="M54" s="214"/>
      <c r="N54" s="214"/>
      <c r="O54" s="214"/>
      <c r="P54" s="373">
        <f>COUNTIF('Étape 2 - Adéquation du tronçon'!$AK$16:$AK$215, AA54)</f>
        <v>0</v>
      </c>
      <c r="Q54" s="537" t="str" cm="1">
        <f t="array" ref="Q54">_xlfn.TEXTJOIN(", ", TRUE, _xlfn._xlws.FILTER(ROW('Étape 2 - Adéquation du tronçon'!AK50:AK249), 'Étape 2 - Adéquation du tronçon'!AK50:AK249 = AA54))</f>
        <v>216, 217, 218, 219, 220, 221, 222, 223, 224, 225, 226, 227, 228, 229, 230, 231, 232, 233, 234, 235, 236, 237, 238, 239, 240, 241, 242, 243, 244, 245, 246, 247, 248, 249</v>
      </c>
      <c r="R54" s="537"/>
      <c r="S54" s="533" t="s">
        <v>1676</v>
      </c>
      <c r="T54" s="534"/>
      <c r="U54" s="534"/>
      <c r="V54" s="534"/>
      <c r="W54" s="535"/>
      <c r="X54" s="348" t="s">
        <v>1674</v>
      </c>
      <c r="Y54" s="348" t="s">
        <v>1673</v>
      </c>
      <c r="Z54" s="1"/>
      <c r="AA54" s="1"/>
      <c r="AB54" s="1"/>
      <c r="AC54" s="1"/>
      <c r="AD54" s="1"/>
      <c r="AE54" s="1"/>
      <c r="AF54" s="1"/>
      <c r="AG54" s="1"/>
      <c r="AH54" s="1"/>
    </row>
    <row r="55" spans="1:35" ht="39" customHeight="1">
      <c r="A55" s="1"/>
      <c r="B55" s="1"/>
      <c r="C55" s="294">
        <v>36</v>
      </c>
      <c r="D55" s="214" t="e" cm="1">
        <f t="array" ref="D55">_xlfn.TEXTSPLIT(AA55, "|")</f>
        <v>#VALUE!</v>
      </c>
      <c r="E55" s="214"/>
      <c r="F55" s="214"/>
      <c r="G55" s="214"/>
      <c r="H55" s="214"/>
      <c r="I55" s="214"/>
      <c r="J55" s="214"/>
      <c r="K55" s="214"/>
      <c r="L55" s="214"/>
      <c r="M55" s="214"/>
      <c r="N55" s="214"/>
      <c r="O55" s="214"/>
      <c r="P55" s="373">
        <f>COUNTIF('Étape 2 - Adéquation du tronçon'!$AK$16:$AK$215, AA55)</f>
        <v>0</v>
      </c>
      <c r="Q55" s="537" t="str" cm="1">
        <f t="array" ref="Q55">_xlfn.TEXTJOIN(", ", TRUE, _xlfn._xlws.FILTER(ROW('Étape 2 - Adéquation du tronçon'!AK51:AK250), 'Étape 2 - Adéquation du tronçon'!AK51:AK250 = AA55))</f>
        <v>216, 217, 218, 219, 220, 221, 222, 223, 224, 225, 226, 227, 228, 229, 230, 231, 232, 233, 234, 235, 236, 237, 238, 239, 240, 241, 242, 243, 244, 245, 246, 247, 248, 249, 250</v>
      </c>
      <c r="R55" s="537"/>
      <c r="S55" s="533" t="s">
        <v>1676</v>
      </c>
      <c r="T55" s="534"/>
      <c r="U55" s="534"/>
      <c r="V55" s="534"/>
      <c r="W55" s="535"/>
      <c r="X55" s="348" t="s">
        <v>1674</v>
      </c>
      <c r="Y55" s="348" t="s">
        <v>1673</v>
      </c>
      <c r="Z55" s="1"/>
      <c r="AA55" s="1"/>
      <c r="AB55" s="1"/>
      <c r="AC55" s="1"/>
      <c r="AD55" s="1"/>
      <c r="AE55" s="1"/>
      <c r="AF55" s="1"/>
      <c r="AG55" s="1"/>
      <c r="AH55" s="1"/>
    </row>
    <row r="56" spans="1:35" ht="39" customHeight="1">
      <c r="A56" s="1"/>
      <c r="B56" s="1"/>
      <c r="C56" s="294">
        <v>37</v>
      </c>
      <c r="D56" s="214" t="e" cm="1">
        <f t="array" ref="D56">_xlfn.TEXTSPLIT(AA56, "|")</f>
        <v>#VALUE!</v>
      </c>
      <c r="E56" s="214"/>
      <c r="F56" s="214"/>
      <c r="G56" s="214"/>
      <c r="H56" s="214"/>
      <c r="I56" s="214"/>
      <c r="J56" s="214"/>
      <c r="K56" s="214"/>
      <c r="L56" s="214"/>
      <c r="M56" s="214"/>
      <c r="N56" s="214"/>
      <c r="O56" s="214"/>
      <c r="P56" s="373">
        <f>COUNTIF('Étape 2 - Adéquation du tronçon'!$AK$16:$AK$215, AA56)</f>
        <v>0</v>
      </c>
      <c r="Q56" s="537" t="str" cm="1">
        <f t="array" ref="Q56">_xlfn.TEXTJOIN(", ", TRUE, _xlfn._xlws.FILTER(ROW('Étape 2 - Adéquation du tronçon'!AK52:AK251), 'Étape 2 - Adéquation du tronçon'!AK52:AK251 = AA56))</f>
        <v>216, 217, 218, 219, 220, 221, 222, 223, 224, 225, 226, 227, 228, 229, 230, 231, 232, 233, 234, 235, 236, 237, 238, 239, 240, 241, 242, 243, 244, 245, 246, 247, 248, 249, 250, 251</v>
      </c>
      <c r="R56" s="537"/>
      <c r="S56" s="533" t="s">
        <v>1676</v>
      </c>
      <c r="T56" s="534"/>
      <c r="U56" s="534"/>
      <c r="V56" s="534"/>
      <c r="W56" s="535"/>
      <c r="X56" s="348" t="s">
        <v>1674</v>
      </c>
      <c r="Y56" s="348" t="s">
        <v>1673</v>
      </c>
      <c r="Z56" s="1"/>
      <c r="AA56" s="1"/>
      <c r="AB56" s="1"/>
      <c r="AC56" s="1"/>
      <c r="AD56" s="1"/>
      <c r="AE56" s="1"/>
      <c r="AF56" s="1"/>
      <c r="AG56" s="1"/>
      <c r="AH56" s="1"/>
    </row>
    <row r="57" spans="1:35" ht="39" customHeight="1">
      <c r="A57" s="1"/>
      <c r="B57" s="1"/>
      <c r="C57" s="294">
        <v>38</v>
      </c>
      <c r="D57" s="214" t="e" cm="1">
        <f t="array" ref="D57">_xlfn.TEXTSPLIT(AA57, "|")</f>
        <v>#VALUE!</v>
      </c>
      <c r="E57" s="214"/>
      <c r="F57" s="214"/>
      <c r="G57" s="214"/>
      <c r="H57" s="214"/>
      <c r="I57" s="214"/>
      <c r="J57" s="214"/>
      <c r="K57" s="214"/>
      <c r="L57" s="214"/>
      <c r="M57" s="214"/>
      <c r="N57" s="214"/>
      <c r="O57" s="214"/>
      <c r="P57" s="373">
        <f>COUNTIF('Étape 2 - Adéquation du tronçon'!$AK$16:$AK$215, AA57)</f>
        <v>0</v>
      </c>
      <c r="Q57" s="537" t="str" cm="1">
        <f t="array" ref="Q57">_xlfn.TEXTJOIN(", ", TRUE, _xlfn._xlws.FILTER(ROW('Étape 2 - Adéquation du tronçon'!AK53:AK252), 'Étape 2 - Adéquation du tronçon'!AK53:AK252 = AA57))</f>
        <v>216, 217, 218, 219, 220, 221, 222, 223, 224, 225, 226, 227, 228, 229, 230, 231, 232, 233, 234, 235, 236, 237, 238, 239, 240, 241, 242, 243, 244, 245, 246, 247, 248, 249, 250, 251, 252</v>
      </c>
      <c r="R57" s="537"/>
      <c r="S57" s="533" t="s">
        <v>1676</v>
      </c>
      <c r="T57" s="534"/>
      <c r="U57" s="534"/>
      <c r="V57" s="534"/>
      <c r="W57" s="535"/>
      <c r="X57" s="348" t="s">
        <v>1674</v>
      </c>
      <c r="Y57" s="348" t="s">
        <v>1673</v>
      </c>
      <c r="Z57" s="1"/>
      <c r="AA57" s="1"/>
      <c r="AB57" s="1"/>
      <c r="AC57" s="1"/>
      <c r="AD57" s="1"/>
      <c r="AE57" s="1"/>
      <c r="AF57" s="1"/>
      <c r="AG57" s="1"/>
      <c r="AH57" s="1"/>
    </row>
    <row r="58" spans="1:35" ht="39" customHeight="1">
      <c r="A58" s="1"/>
      <c r="B58" s="1"/>
      <c r="C58" s="294">
        <v>39</v>
      </c>
      <c r="D58" s="214" t="e" cm="1">
        <f t="array" ref="D58">_xlfn.TEXTSPLIT(AA58, "|")</f>
        <v>#VALUE!</v>
      </c>
      <c r="E58" s="214"/>
      <c r="F58" s="214"/>
      <c r="G58" s="214"/>
      <c r="H58" s="214"/>
      <c r="I58" s="214"/>
      <c r="J58" s="214"/>
      <c r="K58" s="214"/>
      <c r="L58" s="214"/>
      <c r="M58" s="214"/>
      <c r="N58" s="214"/>
      <c r="O58" s="214"/>
      <c r="P58" s="373">
        <f>COUNTIF('Étape 2 - Adéquation du tronçon'!$AK$16:$AK$215, AA58)</f>
        <v>0</v>
      </c>
      <c r="Q58" s="537" t="str" cm="1">
        <f t="array" ref="Q58">_xlfn.TEXTJOIN(", ", TRUE, _xlfn._xlws.FILTER(ROW('Étape 2 - Adéquation du tronçon'!AK54:AK253), 'Étape 2 - Adéquation du tronçon'!AK54:AK253 = AA58))</f>
        <v>216, 217, 218, 219, 220, 221, 222, 223, 224, 225, 226, 227, 228, 229, 230, 231, 232, 233, 234, 235, 236, 237, 238, 239, 240, 241, 242, 243, 244, 245, 246, 247, 248, 249, 250, 251, 252, 253</v>
      </c>
      <c r="R58" s="537"/>
      <c r="S58" s="533" t="s">
        <v>1676</v>
      </c>
      <c r="T58" s="534"/>
      <c r="U58" s="534"/>
      <c r="V58" s="534"/>
      <c r="W58" s="535"/>
      <c r="X58" s="348" t="s">
        <v>1674</v>
      </c>
      <c r="Y58" s="348" t="s">
        <v>1673</v>
      </c>
      <c r="Z58" s="1"/>
      <c r="AA58" s="1"/>
      <c r="AB58" s="1"/>
      <c r="AC58" s="1"/>
      <c r="AD58" s="1"/>
      <c r="AE58" s="1"/>
      <c r="AF58" s="1"/>
      <c r="AG58" s="1"/>
      <c r="AH58" s="1"/>
    </row>
    <row r="59" spans="1:35" ht="39" customHeight="1">
      <c r="A59" s="1"/>
      <c r="B59" s="1"/>
      <c r="C59" s="294">
        <v>40</v>
      </c>
      <c r="D59" s="214" t="e" cm="1">
        <f t="array" ref="D59">_xlfn.TEXTSPLIT(AA59, "|")</f>
        <v>#VALUE!</v>
      </c>
      <c r="E59" s="214"/>
      <c r="F59" s="214"/>
      <c r="G59" s="214"/>
      <c r="H59" s="214"/>
      <c r="I59" s="214"/>
      <c r="J59" s="214"/>
      <c r="K59" s="214"/>
      <c r="L59" s="214"/>
      <c r="M59" s="214"/>
      <c r="N59" s="214"/>
      <c r="O59" s="214"/>
      <c r="P59" s="373">
        <f>COUNTIF('Étape 2 - Adéquation du tronçon'!$AK$16:$AK$215, AA59)</f>
        <v>0</v>
      </c>
      <c r="Q59" s="537" t="str" cm="1">
        <f t="array" ref="Q59">_xlfn.TEXTJOIN(", ", TRUE, _xlfn._xlws.FILTER(ROW('Étape 2 - Adéquation du tronçon'!AK55:AK254), 'Étape 2 - Adéquation du tronçon'!AK55:AK254 = AA59))</f>
        <v>216, 217, 218, 219, 220, 221, 222, 223, 224, 225, 226, 227, 228, 229, 230, 231, 232, 233, 234, 235, 236, 237, 238, 239, 240, 241, 242, 243, 244, 245, 246, 247, 248, 249, 250, 251, 252, 253, 254</v>
      </c>
      <c r="R59" s="537"/>
      <c r="S59" s="533" t="s">
        <v>1676</v>
      </c>
      <c r="T59" s="534"/>
      <c r="U59" s="534"/>
      <c r="V59" s="534"/>
      <c r="W59" s="535"/>
      <c r="X59" s="348" t="s">
        <v>1674</v>
      </c>
      <c r="Y59" s="348" t="s">
        <v>1673</v>
      </c>
      <c r="Z59" s="1"/>
      <c r="AA59" s="1"/>
      <c r="AB59" s="1"/>
      <c r="AC59" s="1"/>
      <c r="AD59" s="1"/>
      <c r="AE59" s="1"/>
      <c r="AF59" s="1"/>
      <c r="AG59" s="1"/>
      <c r="AH59" s="1"/>
    </row>
    <row r="60" spans="1:35"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90.95" customHeight="1">
      <c r="A68" s="1"/>
      <c r="B68" s="5"/>
      <c r="C68" s="555" t="s">
        <v>2095</v>
      </c>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556"/>
      <c r="AC68" s="556"/>
      <c r="AD68" s="556"/>
      <c r="AE68" s="556"/>
      <c r="AF68" s="1"/>
      <c r="AG68" s="1"/>
      <c r="AH68" s="1"/>
      <c r="AI68" s="1"/>
    </row>
    <row r="69" spans="1:35" ht="66.95" customHeight="1">
      <c r="A69" s="1"/>
      <c r="B69" s="5"/>
      <c r="C69" s="295"/>
      <c r="D69" s="474" t="s">
        <v>2076</v>
      </c>
      <c r="E69" s="475"/>
      <c r="F69" s="475"/>
      <c r="G69" s="475"/>
      <c r="H69" s="475"/>
      <c r="I69" s="475"/>
      <c r="J69" s="475"/>
      <c r="K69" s="475"/>
      <c r="L69" s="475"/>
      <c r="M69" s="475"/>
      <c r="N69" s="475"/>
      <c r="O69" s="475"/>
      <c r="P69" s="475"/>
      <c r="Q69" s="475"/>
      <c r="R69" s="482" t="s">
        <v>1481</v>
      </c>
      <c r="S69" s="482"/>
      <c r="T69" s="486" t="s">
        <v>2118</v>
      </c>
      <c r="U69" s="487"/>
      <c r="V69" s="487"/>
      <c r="W69" s="487"/>
      <c r="X69" s="536" t="s">
        <v>1482</v>
      </c>
      <c r="Y69" s="483"/>
      <c r="Z69" s="538"/>
      <c r="AA69" s="536" t="s">
        <v>1609</v>
      </c>
      <c r="AB69" s="483"/>
      <c r="AC69" s="550" t="s">
        <v>1483</v>
      </c>
      <c r="AD69" s="483"/>
      <c r="AE69" s="483"/>
      <c r="AF69" s="1"/>
      <c r="AG69" s="1"/>
      <c r="AH69" s="1"/>
      <c r="AI69" s="1"/>
    </row>
    <row r="70" spans="1:35" ht="83.45" customHeight="1">
      <c r="A70" s="1"/>
      <c r="B70" s="1"/>
      <c r="C70" s="476"/>
      <c r="D70" s="207"/>
      <c r="E70" s="458" t="s">
        <v>1589</v>
      </c>
      <c r="F70" s="458"/>
      <c r="G70" s="458"/>
      <c r="H70" s="458"/>
      <c r="I70" s="441" t="s">
        <v>1592</v>
      </c>
      <c r="J70" s="464"/>
      <c r="K70" s="464"/>
      <c r="L70" s="464"/>
      <c r="M70" s="464"/>
      <c r="N70" s="464"/>
      <c r="O70" s="478"/>
      <c r="P70" s="441" t="s">
        <v>1484</v>
      </c>
      <c r="Q70" s="464"/>
      <c r="R70" s="557"/>
      <c r="S70" s="557"/>
      <c r="T70" s="480" t="s">
        <v>1485</v>
      </c>
      <c r="U70" s="478"/>
      <c r="V70" s="464" t="s">
        <v>1486</v>
      </c>
      <c r="W70" s="464"/>
      <c r="X70" s="536"/>
      <c r="Y70" s="483"/>
      <c r="Z70" s="538"/>
      <c r="AA70" s="536"/>
      <c r="AB70" s="483"/>
      <c r="AC70" s="550"/>
      <c r="AD70" s="483"/>
      <c r="AE70" s="483"/>
      <c r="AF70" s="1"/>
      <c r="AG70" s="1"/>
      <c r="AH70" s="1"/>
      <c r="AI70" s="1"/>
    </row>
    <row r="71" spans="1:35" s="93" customFormat="1" ht="150" customHeight="1">
      <c r="A71" s="92"/>
      <c r="B71" s="92"/>
      <c r="C71" s="476"/>
      <c r="D71" s="208" t="s">
        <v>1487</v>
      </c>
      <c r="E71" s="208" t="s">
        <v>1488</v>
      </c>
      <c r="F71" s="209" t="s">
        <v>1489</v>
      </c>
      <c r="G71" s="208" t="s">
        <v>1568</v>
      </c>
      <c r="H71" s="208" t="s">
        <v>1490</v>
      </c>
      <c r="I71" s="210" t="s">
        <v>1491</v>
      </c>
      <c r="J71" s="211" t="s">
        <v>1492</v>
      </c>
      <c r="K71" s="208" t="s">
        <v>1493</v>
      </c>
      <c r="L71" s="208" t="s">
        <v>1494</v>
      </c>
      <c r="M71" s="208" t="s">
        <v>1495</v>
      </c>
      <c r="N71" s="208" t="s">
        <v>1496</v>
      </c>
      <c r="O71" s="208" t="s">
        <v>1590</v>
      </c>
      <c r="P71" s="208" t="s">
        <v>1593</v>
      </c>
      <c r="Q71" s="208" t="s">
        <v>1497</v>
      </c>
      <c r="R71" s="212" t="s">
        <v>1498</v>
      </c>
      <c r="S71" s="212" t="s">
        <v>1594</v>
      </c>
      <c r="T71" s="221" t="s">
        <v>1595</v>
      </c>
      <c r="U71" s="208" t="s">
        <v>1499</v>
      </c>
      <c r="V71" s="208" t="s">
        <v>1500</v>
      </c>
      <c r="W71" s="208" t="s">
        <v>1501</v>
      </c>
      <c r="X71" s="213" t="s">
        <v>1502</v>
      </c>
      <c r="Y71" s="213" t="s">
        <v>1503</v>
      </c>
      <c r="Z71" s="212" t="s">
        <v>1504</v>
      </c>
      <c r="AA71" s="213" t="s">
        <v>1931</v>
      </c>
      <c r="AB71" s="377" t="s">
        <v>1932</v>
      </c>
      <c r="AC71" s="212" t="s">
        <v>1505</v>
      </c>
      <c r="AD71" s="212" t="s">
        <v>1596</v>
      </c>
      <c r="AE71" s="213" t="s">
        <v>1597</v>
      </c>
      <c r="AF71" s="1"/>
      <c r="AG71" s="1"/>
      <c r="AH71" s="1"/>
      <c r="AI71" s="1"/>
    </row>
    <row r="72" spans="1:35" ht="39" customHeight="1">
      <c r="A72" s="1"/>
      <c r="B72" s="1"/>
      <c r="C72" s="294">
        <v>1</v>
      </c>
      <c r="D72" s="214" t="str" cm="1">
        <f t="array" ref="D72:Z109">_xlfn.HSTACK(_xlfn._xlws.FILTER('Étape 2 - Adéquation du tronçon'!E20:Z219, ('Étape 2 - Adéquation du tronçon'!S20:S219="critique") + ('Étape 2 - Adéquation du tronçon'!T20:T219="instable") + ('Étape 2 - Adéquation du tronçon'!U20:U219="oui") + ('Étape 2 - Adéquation du tronçon'!V20:V219="oui") + ('Étape 2 - Adéquation du tronçon'!W20:W219="oui") + ('Étape 2 - Adéquation du tronçon'!X20:X219="oui")), _xlfn._xlws.FILTER('Étape 2 - Adéquation du tronçon'!C20:C219, ('Étape 2 - Adéquation du tronçon'!S20:S219="critique") + ('Étape 2 - Adéquation du tronçon'!T20:T219="instable") + ('Étape 2 - Adéquation du tronçon'!U20:U219="oui") + ('Étape 2 - Adéquation du tronçon'!V20:V219="oui") + ('Étape 2 - Adéquation du tronçon'!W20:W219="oui") + ('Étape 2 - Adéquation du tronçon'!X20:X219="oui")))</f>
        <v>en localité</v>
      </c>
      <c r="E72" s="214" t="str">
        <v>non</v>
      </c>
      <c r="F72" s="214" t="str">
        <v>3</v>
      </c>
      <c r="G72" s="214" t="str">
        <v>non</v>
      </c>
      <c r="H72" s="214" t="str">
        <v>non</v>
      </c>
      <c r="I72" s="214" t="str">
        <v>-</v>
      </c>
      <c r="J72" s="214" t="str">
        <v>-</v>
      </c>
      <c r="K72" s="214" t="str">
        <v>-</v>
      </c>
      <c r="L72" s="214" t="str">
        <v>-</v>
      </c>
      <c r="M72" s="214" t="str">
        <v>-</v>
      </c>
      <c r="N72" s="214" t="str">
        <v>-</v>
      </c>
      <c r="O72" s="214" t="str">
        <v>-</v>
      </c>
      <c r="P72" s="214">
        <v>19200</v>
      </c>
      <c r="Q72" s="214" t="str">
        <v>non</v>
      </c>
      <c r="R72" s="289" t="str">
        <v>sûr</v>
      </c>
      <c r="S72" s="289" t="str">
        <v>instable</v>
      </c>
      <c r="T72" s="215" t="str">
        <v>non</v>
      </c>
      <c r="U72" s="215" t="str">
        <v>non</v>
      </c>
      <c r="V72" s="215" t="str">
        <v>non</v>
      </c>
      <c r="W72" s="215" t="str">
        <v>non</v>
      </c>
      <c r="X72" s="290" t="str">
        <v>non</v>
      </c>
      <c r="Y72" s="291" t="str">
        <v>élevé</v>
      </c>
      <c r="Z72" s="216" t="str">
        <v>Section 5</v>
      </c>
      <c r="AA72" s="378" t="s">
        <v>2096</v>
      </c>
      <c r="AB72" s="378" t="s">
        <v>1936</v>
      </c>
      <c r="AC72" s="376" t="s">
        <v>1674</v>
      </c>
      <c r="AD72" s="376" t="s">
        <v>1939</v>
      </c>
      <c r="AE72" s="347" t="s">
        <v>1971</v>
      </c>
      <c r="AF72" s="1"/>
      <c r="AG72" s="1"/>
      <c r="AH72" s="1"/>
      <c r="AI72" s="1"/>
    </row>
    <row r="73" spans="1:35" ht="39" customHeight="1">
      <c r="A73" s="1"/>
      <c r="B73" s="1"/>
      <c r="C73" s="294">
        <v>2</v>
      </c>
      <c r="D73" s="214" t="str">
        <v>en localité</v>
      </c>
      <c r="E73" s="214" t="str">
        <v>oui</v>
      </c>
      <c r="F73" s="214" t="str">
        <v>&gt;3</v>
      </c>
      <c r="G73" s="214" t="str">
        <v>-</v>
      </c>
      <c r="H73" s="214" t="str">
        <v>non</v>
      </c>
      <c r="I73" s="214" t="str">
        <v>-</v>
      </c>
      <c r="J73" s="214" t="str">
        <v>-</v>
      </c>
      <c r="K73" s="214" t="str">
        <v>-</v>
      </c>
      <c r="L73" s="214" t="str">
        <v>-</v>
      </c>
      <c r="M73" s="214" t="str">
        <v>-</v>
      </c>
      <c r="N73" s="214" t="str">
        <v>-</v>
      </c>
      <c r="O73" s="214" t="str">
        <v>-</v>
      </c>
      <c r="P73" s="214">
        <v>7298</v>
      </c>
      <c r="Q73" s="214" t="str">
        <v>non</v>
      </c>
      <c r="R73" s="289" t="str">
        <v>sûr</v>
      </c>
      <c r="S73" s="289" t="str">
        <v>fluide</v>
      </c>
      <c r="T73" s="215" t="str">
        <v>non</v>
      </c>
      <c r="U73" s="215" t="str">
        <v>non</v>
      </c>
      <c r="V73" s="215" t="str">
        <v>non</v>
      </c>
      <c r="W73" s="215" t="str">
        <v>oui</v>
      </c>
      <c r="X73" s="290" t="str">
        <v>oui</v>
      </c>
      <c r="Y73" s="291" t="str">
        <v>élevé</v>
      </c>
      <c r="Z73" s="216" t="str">
        <v>Section 7</v>
      </c>
      <c r="AA73" s="378" t="s">
        <v>1935</v>
      </c>
      <c r="AB73" s="378"/>
      <c r="AC73" s="376" t="s">
        <v>1673</v>
      </c>
      <c r="AD73" s="376" t="s">
        <v>1939</v>
      </c>
      <c r="AE73" s="347" t="s">
        <v>2030</v>
      </c>
      <c r="AF73" s="1"/>
      <c r="AG73" s="1"/>
      <c r="AH73" s="1"/>
      <c r="AI73" s="1"/>
    </row>
    <row r="74" spans="1:35" ht="39" customHeight="1">
      <c r="A74" s="1"/>
      <c r="B74" s="1"/>
      <c r="C74" s="294">
        <v>3</v>
      </c>
      <c r="D74" s="214" t="str">
        <v>en localité</v>
      </c>
      <c r="E74" s="214" t="str">
        <v>non</v>
      </c>
      <c r="F74" s="214" t="str">
        <v>3</v>
      </c>
      <c r="G74" s="214" t="str">
        <v>non</v>
      </c>
      <c r="H74" s="214" t="str">
        <v>non</v>
      </c>
      <c r="I74" s="214" t="str">
        <v>-</v>
      </c>
      <c r="J74" s="214" t="str">
        <v>-</v>
      </c>
      <c r="K74" s="214" t="str">
        <v>-</v>
      </c>
      <c r="L74" s="214" t="str">
        <v>-</v>
      </c>
      <c r="M74" s="214" t="str">
        <v>-</v>
      </c>
      <c r="N74" s="214" t="str">
        <v>-</v>
      </c>
      <c r="O74" s="214" t="str">
        <v>-</v>
      </c>
      <c r="P74" s="214">
        <v>9313</v>
      </c>
      <c r="Q74" s="214" t="str">
        <v>non</v>
      </c>
      <c r="R74" s="289" t="str">
        <v>sûr</v>
      </c>
      <c r="S74" s="289" t="str">
        <v>acceptable</v>
      </c>
      <c r="T74" s="215" t="str">
        <v>non</v>
      </c>
      <c r="U74" s="215" t="str">
        <v>non</v>
      </c>
      <c r="V74" s="215" t="str">
        <v>oui</v>
      </c>
      <c r="W74" s="215" t="str">
        <v>non</v>
      </c>
      <c r="X74" s="290" t="str">
        <v>oui</v>
      </c>
      <c r="Y74" s="291" t="str">
        <v>élevé</v>
      </c>
      <c r="Z74" s="216" t="str">
        <v>Section 10</v>
      </c>
      <c r="AA74" s="378" t="s">
        <v>2096</v>
      </c>
      <c r="AB74" s="378" t="s">
        <v>1936</v>
      </c>
      <c r="AC74" s="376" t="s">
        <v>1674</v>
      </c>
      <c r="AD74" s="376" t="s">
        <v>1674</v>
      </c>
      <c r="AE74" s="347"/>
      <c r="AF74" s="1"/>
      <c r="AG74" s="1"/>
      <c r="AH74" s="1"/>
      <c r="AI74" s="1"/>
    </row>
    <row r="75" spans="1:35" ht="39" customHeight="1">
      <c r="A75" s="1"/>
      <c r="B75" s="1"/>
      <c r="C75" s="294">
        <v>4</v>
      </c>
      <c r="D75" s="214" t="str">
        <v>en localité</v>
      </c>
      <c r="E75" s="214" t="str">
        <v>non</v>
      </c>
      <c r="F75" s="214" t="str">
        <v>3</v>
      </c>
      <c r="G75" s="214" t="str">
        <v>non</v>
      </c>
      <c r="H75" s="214" t="str">
        <v>non</v>
      </c>
      <c r="I75" s="214" t="str">
        <v>-</v>
      </c>
      <c r="J75" s="214" t="str">
        <v>-</v>
      </c>
      <c r="K75" s="214" t="str">
        <v>-</v>
      </c>
      <c r="L75" s="214" t="str">
        <v>-</v>
      </c>
      <c r="M75" s="214" t="str">
        <v>-</v>
      </c>
      <c r="N75" s="214" t="str">
        <v>-</v>
      </c>
      <c r="O75" s="214" t="str">
        <v>-</v>
      </c>
      <c r="P75" s="214">
        <v>18586</v>
      </c>
      <c r="Q75" s="214" t="str">
        <v>non</v>
      </c>
      <c r="R75" s="289" t="str">
        <v>sûr</v>
      </c>
      <c r="S75" s="289" t="str">
        <v>instable</v>
      </c>
      <c r="T75" s="215" t="str">
        <v>non</v>
      </c>
      <c r="U75" s="215" t="str">
        <v>oui</v>
      </c>
      <c r="V75" s="215" t="str">
        <v>non</v>
      </c>
      <c r="W75" s="215" t="str">
        <v>non</v>
      </c>
      <c r="X75" s="290" t="str">
        <v>oui</v>
      </c>
      <c r="Y75" s="291" t="str">
        <v>élevé</v>
      </c>
      <c r="Z75" s="216" t="str">
        <v>Section 13</v>
      </c>
      <c r="AA75" s="378" t="s">
        <v>2096</v>
      </c>
      <c r="AB75" s="378" t="s">
        <v>1938</v>
      </c>
      <c r="AC75" s="376" t="s">
        <v>1673</v>
      </c>
      <c r="AD75" s="376" t="s">
        <v>1939</v>
      </c>
      <c r="AE75" s="347" t="s">
        <v>1524</v>
      </c>
      <c r="AF75" s="1"/>
      <c r="AG75" s="1"/>
      <c r="AH75" s="1"/>
      <c r="AI75" s="1"/>
    </row>
    <row r="76" spans="1:35" ht="39" customHeight="1">
      <c r="A76" s="1"/>
      <c r="B76" s="1"/>
      <c r="C76" s="294">
        <v>5</v>
      </c>
      <c r="D76" s="214" t="str">
        <v>en localité</v>
      </c>
      <c r="E76" s="214" t="str">
        <v>non</v>
      </c>
      <c r="F76" s="214" t="str">
        <v>3</v>
      </c>
      <c r="G76" s="214" t="str">
        <v>non</v>
      </c>
      <c r="H76" s="214" t="str">
        <v>non</v>
      </c>
      <c r="I76" s="214" t="str">
        <v>-</v>
      </c>
      <c r="J76" s="214" t="str">
        <v>-</v>
      </c>
      <c r="K76" s="214" t="str">
        <v>-</v>
      </c>
      <c r="L76" s="214" t="str">
        <v>-</v>
      </c>
      <c r="M76" s="214" t="str">
        <v>-</v>
      </c>
      <c r="N76" s="214" t="str">
        <v>-</v>
      </c>
      <c r="O76" s="214" t="str">
        <v>-</v>
      </c>
      <c r="P76" s="214">
        <v>13467</v>
      </c>
      <c r="Q76" s="214" t="str">
        <v>non</v>
      </c>
      <c r="R76" s="289" t="str">
        <v>sûr</v>
      </c>
      <c r="S76" s="289" t="str">
        <v>acceptable</v>
      </c>
      <c r="T76" s="215" t="str">
        <v>non</v>
      </c>
      <c r="U76" s="215" t="str">
        <v>non</v>
      </c>
      <c r="V76" s="215" t="str">
        <v>oui</v>
      </c>
      <c r="W76" s="215" t="str">
        <v>non</v>
      </c>
      <c r="X76" s="290" t="str">
        <v>oui</v>
      </c>
      <c r="Y76" s="291" t="str">
        <v>élevé</v>
      </c>
      <c r="Z76" s="216" t="str">
        <v>Section 16</v>
      </c>
      <c r="AA76" s="378" t="s">
        <v>2096</v>
      </c>
      <c r="AB76" s="378" t="s">
        <v>1936</v>
      </c>
      <c r="AC76" s="376" t="s">
        <v>1674</v>
      </c>
      <c r="AD76" s="376" t="s">
        <v>1674</v>
      </c>
      <c r="AE76" s="347"/>
      <c r="AF76" s="1"/>
      <c r="AG76" s="1"/>
      <c r="AH76" s="1"/>
      <c r="AI76" s="1"/>
    </row>
    <row r="77" spans="1:35" ht="39" customHeight="1">
      <c r="A77" s="1"/>
      <c r="B77" s="1"/>
      <c r="C77" s="294">
        <v>6</v>
      </c>
      <c r="D77" s="214" t="str">
        <v>en localité</v>
      </c>
      <c r="E77" s="214" t="str">
        <v>non</v>
      </c>
      <c r="F77" s="214" t="str">
        <v>&gt;3</v>
      </c>
      <c r="G77" s="214" t="str">
        <v>oui</v>
      </c>
      <c r="H77" s="214" t="str">
        <v>non</v>
      </c>
      <c r="I77" s="214" t="str">
        <v>-</v>
      </c>
      <c r="J77" s="214" t="str">
        <v>-</v>
      </c>
      <c r="K77" s="214" t="str">
        <v>-</v>
      </c>
      <c r="L77" s="214" t="str">
        <v>-</v>
      </c>
      <c r="M77" s="214" t="str">
        <v>-</v>
      </c>
      <c r="N77" s="214" t="str">
        <v>-</v>
      </c>
      <c r="O77" s="214" t="str">
        <v>-</v>
      </c>
      <c r="P77" s="214">
        <v>7053</v>
      </c>
      <c r="Q77" s="214" t="str">
        <v>non</v>
      </c>
      <c r="R77" s="289" t="str">
        <v>sûr</v>
      </c>
      <c r="S77" s="289" t="str">
        <v>fluide</v>
      </c>
      <c r="T77" s="215" t="str">
        <v>non</v>
      </c>
      <c r="U77" s="215" t="str">
        <v>oui</v>
      </c>
      <c r="V77" s="215" t="str">
        <v>oui</v>
      </c>
      <c r="W77" s="215" t="str">
        <v>non</v>
      </c>
      <c r="X77" s="290" t="str">
        <v>oui</v>
      </c>
      <c r="Y77" s="291" t="str">
        <v>élevé</v>
      </c>
      <c r="Z77" s="216" t="str">
        <v>Section 17</v>
      </c>
      <c r="AA77" s="378" t="s">
        <v>2096</v>
      </c>
      <c r="AB77" s="378" t="s">
        <v>1933</v>
      </c>
      <c r="AC77" s="376" t="s">
        <v>1674</v>
      </c>
      <c r="AD77" s="376" t="s">
        <v>1674</v>
      </c>
      <c r="AE77" s="347"/>
      <c r="AF77" s="1"/>
      <c r="AG77" s="1"/>
      <c r="AH77" s="1"/>
      <c r="AI77" s="1"/>
    </row>
    <row r="78" spans="1:35" ht="39" customHeight="1">
      <c r="A78" s="1"/>
      <c r="B78" s="1"/>
      <c r="C78" s="294">
        <v>7</v>
      </c>
      <c r="D78" s="214" t="str">
        <v>en localité</v>
      </c>
      <c r="E78" s="214" t="str">
        <v>non</v>
      </c>
      <c r="F78" s="214" t="str">
        <v>3</v>
      </c>
      <c r="G78" s="214" t="str">
        <v>non</v>
      </c>
      <c r="H78" s="214" t="str">
        <v>non</v>
      </c>
      <c r="I78" s="214" t="str">
        <v>-</v>
      </c>
      <c r="J78" s="214" t="str">
        <v>-</v>
      </c>
      <c r="K78" s="214" t="str">
        <v>-</v>
      </c>
      <c r="L78" s="214" t="str">
        <v>-</v>
      </c>
      <c r="M78" s="214" t="str">
        <v>-</v>
      </c>
      <c r="N78" s="214" t="str">
        <v>-</v>
      </c>
      <c r="O78" s="214" t="str">
        <v>-</v>
      </c>
      <c r="P78" s="214">
        <v>9077</v>
      </c>
      <c r="Q78" s="214" t="str">
        <v>non</v>
      </c>
      <c r="R78" s="289" t="str">
        <v>sûr</v>
      </c>
      <c r="S78" s="289" t="str">
        <v>acceptable</v>
      </c>
      <c r="T78" s="215" t="str">
        <v>non</v>
      </c>
      <c r="U78" s="215" t="str">
        <v>non</v>
      </c>
      <c r="V78" s="215" t="str">
        <v>non</v>
      </c>
      <c r="W78" s="215" t="str">
        <v>oui</v>
      </c>
      <c r="X78" s="290" t="str">
        <v>oui</v>
      </c>
      <c r="Y78" s="291" t="str">
        <v>élevé</v>
      </c>
      <c r="Z78" s="216" t="str">
        <v>Section 20</v>
      </c>
      <c r="AA78" s="378" t="s">
        <v>1935</v>
      </c>
      <c r="AB78" s="378"/>
      <c r="AC78" s="376" t="s">
        <v>1673</v>
      </c>
      <c r="AD78" s="376" t="s">
        <v>1673</v>
      </c>
      <c r="AE78" s="347" t="s">
        <v>2045</v>
      </c>
      <c r="AF78" s="1"/>
      <c r="AG78" s="1"/>
      <c r="AH78" s="1"/>
      <c r="AI78" s="1"/>
    </row>
    <row r="79" spans="1:35" ht="39" customHeight="1">
      <c r="A79" s="1"/>
      <c r="B79" s="1"/>
      <c r="C79" s="294">
        <v>8</v>
      </c>
      <c r="D79" s="214" t="str">
        <v>en localité</v>
      </c>
      <c r="E79" s="214" t="str">
        <v>non</v>
      </c>
      <c r="F79" s="214" t="str">
        <v>3</v>
      </c>
      <c r="G79" s="214" t="str">
        <v>non</v>
      </c>
      <c r="H79" s="214" t="str">
        <v>non</v>
      </c>
      <c r="I79" s="214" t="str">
        <v>-</v>
      </c>
      <c r="J79" s="214" t="str">
        <v>-</v>
      </c>
      <c r="K79" s="214" t="str">
        <v>-</v>
      </c>
      <c r="L79" s="214" t="str">
        <v>-</v>
      </c>
      <c r="M79" s="214" t="str">
        <v>-</v>
      </c>
      <c r="N79" s="214" t="str">
        <v>-</v>
      </c>
      <c r="O79" s="214" t="str">
        <v>-</v>
      </c>
      <c r="P79" s="214">
        <v>8107</v>
      </c>
      <c r="Q79" s="214" t="str">
        <v>non</v>
      </c>
      <c r="R79" s="289" t="str">
        <v>sûr</v>
      </c>
      <c r="S79" s="289" t="str">
        <v>fluide</v>
      </c>
      <c r="T79" s="215" t="str">
        <v>non</v>
      </c>
      <c r="U79" s="215" t="str">
        <v>non</v>
      </c>
      <c r="V79" s="215" t="str">
        <v>non</v>
      </c>
      <c r="W79" s="215" t="str">
        <v>oui</v>
      </c>
      <c r="X79" s="290" t="str">
        <v>oui</v>
      </c>
      <c r="Y79" s="291" t="str">
        <v>élevé</v>
      </c>
      <c r="Z79" s="216" t="str">
        <v>Section 23</v>
      </c>
      <c r="AA79" s="378" t="s">
        <v>2096</v>
      </c>
      <c r="AB79" s="378" t="s">
        <v>1937</v>
      </c>
      <c r="AC79" s="376" t="s">
        <v>1674</v>
      </c>
      <c r="AD79" s="376" t="s">
        <v>1674</v>
      </c>
      <c r="AE79" s="347"/>
      <c r="AF79" s="1"/>
      <c r="AG79" s="1"/>
      <c r="AH79" s="1"/>
      <c r="AI79" s="1"/>
    </row>
    <row r="80" spans="1:35" ht="39" customHeight="1">
      <c r="A80" s="1"/>
      <c r="B80" s="1"/>
      <c r="C80" s="294">
        <v>9</v>
      </c>
      <c r="D80" s="214" t="str">
        <v>en localité</v>
      </c>
      <c r="E80" s="214" t="str">
        <v>non</v>
      </c>
      <c r="F80" s="214" t="str">
        <v>&gt;3</v>
      </c>
      <c r="G80" s="214" t="str">
        <v>non</v>
      </c>
      <c r="H80" s="214" t="str">
        <v>non</v>
      </c>
      <c r="I80" s="214" t="str">
        <v>-</v>
      </c>
      <c r="J80" s="214" t="str">
        <v>-</v>
      </c>
      <c r="K80" s="214" t="str">
        <v>-</v>
      </c>
      <c r="L80" s="214" t="str">
        <v>-</v>
      </c>
      <c r="M80" s="214" t="str">
        <v>-</v>
      </c>
      <c r="N80" s="214" t="str">
        <v>-</v>
      </c>
      <c r="O80" s="214" t="str">
        <v>-</v>
      </c>
      <c r="P80" s="214">
        <v>12946</v>
      </c>
      <c r="Q80" s="214" t="str">
        <v>non</v>
      </c>
      <c r="R80" s="289" t="str">
        <v>acceptable</v>
      </c>
      <c r="S80" s="289" t="str">
        <v>acceptable</v>
      </c>
      <c r="T80" s="215" t="str">
        <v>non</v>
      </c>
      <c r="U80" s="215" t="str">
        <v>non</v>
      </c>
      <c r="V80" s="215" t="str">
        <v>oui</v>
      </c>
      <c r="W80" s="215" t="str">
        <v>non</v>
      </c>
      <c r="X80" s="290" t="str">
        <v>oui</v>
      </c>
      <c r="Y80" s="291" t="str">
        <v>élevé</v>
      </c>
      <c r="Z80" s="216" t="str">
        <v>Section 28</v>
      </c>
      <c r="AA80" s="378" t="s">
        <v>2096</v>
      </c>
      <c r="AB80" s="378" t="s">
        <v>1934</v>
      </c>
      <c r="AC80" s="376" t="s">
        <v>1674</v>
      </c>
      <c r="AD80" s="376" t="s">
        <v>1674</v>
      </c>
      <c r="AE80" s="347"/>
      <c r="AF80" s="1"/>
      <c r="AG80" s="1"/>
      <c r="AH80" s="1"/>
      <c r="AI80" s="1"/>
    </row>
    <row r="81" spans="1:35" ht="39" customHeight="1">
      <c r="A81" s="1"/>
      <c r="B81" s="1"/>
      <c r="C81" s="294">
        <v>10</v>
      </c>
      <c r="D81" s="214" t="str">
        <v>en localité</v>
      </c>
      <c r="E81" s="214" t="str">
        <v>non</v>
      </c>
      <c r="F81" s="214" t="str">
        <v>3</v>
      </c>
      <c r="G81" s="214" t="str">
        <v>non</v>
      </c>
      <c r="H81" s="214" t="str">
        <v>oui</v>
      </c>
      <c r="I81" s="214" t="str">
        <v>-</v>
      </c>
      <c r="J81" s="214" t="str">
        <v>-</v>
      </c>
      <c r="K81" s="214" t="str">
        <v>-</v>
      </c>
      <c r="L81" s="214" t="str">
        <v>-</v>
      </c>
      <c r="M81" s="214" t="str">
        <v>-</v>
      </c>
      <c r="N81" s="214" t="str">
        <v>-</v>
      </c>
      <c r="O81" s="214" t="str">
        <v>-</v>
      </c>
      <c r="P81" s="214">
        <v>14988</v>
      </c>
      <c r="Q81" s="214" t="str">
        <v>non</v>
      </c>
      <c r="R81" s="289" t="str">
        <v>sûr</v>
      </c>
      <c r="S81" s="289" t="str">
        <v>instable</v>
      </c>
      <c r="T81" s="215" t="str">
        <v>non</v>
      </c>
      <c r="U81" s="215" t="str">
        <v>non</v>
      </c>
      <c r="V81" s="215" t="str">
        <v>non</v>
      </c>
      <c r="W81" s="215" t="str">
        <v>non</v>
      </c>
      <c r="X81" s="290" t="str">
        <v>non</v>
      </c>
      <c r="Y81" s="291" t="str">
        <v>élevé</v>
      </c>
      <c r="Z81" s="216" t="str">
        <v>Section 30</v>
      </c>
      <c r="AA81" s="378" t="s">
        <v>1935</v>
      </c>
      <c r="AB81" s="378"/>
      <c r="AC81" s="376" t="s">
        <v>1674</v>
      </c>
      <c r="AD81" s="376" t="s">
        <v>1674</v>
      </c>
      <c r="AE81" s="347"/>
      <c r="AF81" s="1"/>
      <c r="AG81" s="1"/>
      <c r="AH81" s="1"/>
      <c r="AI81" s="1"/>
    </row>
    <row r="82" spans="1:35" ht="39" customHeight="1">
      <c r="A82" s="1"/>
      <c r="B82" s="1"/>
      <c r="C82" s="294">
        <v>11</v>
      </c>
      <c r="D82" s="214" t="str">
        <v>en localité</v>
      </c>
      <c r="E82" s="214" t="str">
        <v>non</v>
      </c>
      <c r="F82" s="214" t="str">
        <v>3</v>
      </c>
      <c r="G82" s="214" t="str">
        <v>non</v>
      </c>
      <c r="H82" s="214" t="str">
        <v>oui</v>
      </c>
      <c r="I82" s="214" t="str">
        <v>-</v>
      </c>
      <c r="J82" s="214" t="str">
        <v>-</v>
      </c>
      <c r="K82" s="214" t="str">
        <v>-</v>
      </c>
      <c r="L82" s="214" t="str">
        <v>-</v>
      </c>
      <c r="M82" s="214" t="str">
        <v>-</v>
      </c>
      <c r="N82" s="214" t="str">
        <v>-</v>
      </c>
      <c r="O82" s="214" t="str">
        <v>-</v>
      </c>
      <c r="P82" s="214">
        <v>14120</v>
      </c>
      <c r="Q82" s="214" t="str">
        <v>non</v>
      </c>
      <c r="R82" s="289" t="str">
        <v>sûr</v>
      </c>
      <c r="S82" s="289" t="str">
        <v>instable</v>
      </c>
      <c r="T82" s="215" t="str">
        <v>non</v>
      </c>
      <c r="U82" s="215" t="str">
        <v>non</v>
      </c>
      <c r="V82" s="215" t="str">
        <v>oui</v>
      </c>
      <c r="W82" s="215" t="str">
        <v>non</v>
      </c>
      <c r="X82" s="290" t="str">
        <v>oui</v>
      </c>
      <c r="Y82" s="291" t="str">
        <v>élevé</v>
      </c>
      <c r="Z82" s="216" t="str">
        <v>Section 31</v>
      </c>
      <c r="AA82" s="378" t="s">
        <v>1935</v>
      </c>
      <c r="AB82" s="378"/>
      <c r="AC82" s="376" t="s">
        <v>1674</v>
      </c>
      <c r="AD82" s="376" t="s">
        <v>1674</v>
      </c>
      <c r="AE82" s="347"/>
      <c r="AF82" s="1"/>
      <c r="AG82" s="1"/>
      <c r="AH82" s="1"/>
      <c r="AI82" s="1"/>
    </row>
    <row r="83" spans="1:35" ht="39" customHeight="1">
      <c r="A83" s="1"/>
      <c r="B83" s="1"/>
      <c r="C83" s="294">
        <v>12</v>
      </c>
      <c r="D83" s="214" t="str">
        <v>en localité</v>
      </c>
      <c r="E83" s="214" t="str">
        <v>non</v>
      </c>
      <c r="F83" s="214" t="str">
        <v>&gt;3</v>
      </c>
      <c r="G83" s="214" t="str">
        <v>non</v>
      </c>
      <c r="H83" s="214" t="str">
        <v>non</v>
      </c>
      <c r="I83" s="214" t="str">
        <v>-</v>
      </c>
      <c r="J83" s="214" t="str">
        <v>-</v>
      </c>
      <c r="K83" s="214" t="str">
        <v>-</v>
      </c>
      <c r="L83" s="214" t="str">
        <v>-</v>
      </c>
      <c r="M83" s="214" t="str">
        <v>-</v>
      </c>
      <c r="N83" s="214" t="str">
        <v>-</v>
      </c>
      <c r="O83" s="214" t="str">
        <v>-</v>
      </c>
      <c r="P83" s="214">
        <v>7456</v>
      </c>
      <c r="Q83" s="214" t="str">
        <v>non</v>
      </c>
      <c r="R83" s="289" t="str">
        <v>acceptable</v>
      </c>
      <c r="S83" s="289" t="str">
        <v>fluide</v>
      </c>
      <c r="T83" s="215" t="str">
        <v>non</v>
      </c>
      <c r="U83" s="215" t="str">
        <v>non</v>
      </c>
      <c r="V83" s="215" t="str">
        <v>non</v>
      </c>
      <c r="W83" s="215" t="str">
        <v>oui</v>
      </c>
      <c r="X83" s="290" t="str">
        <v>oui</v>
      </c>
      <c r="Y83" s="291" t="str">
        <v>élevé</v>
      </c>
      <c r="Z83" s="216" t="str">
        <v>Section 36</v>
      </c>
      <c r="AA83" s="378" t="s">
        <v>1935</v>
      </c>
      <c r="AB83" s="378"/>
      <c r="AC83" s="376" t="s">
        <v>1674</v>
      </c>
      <c r="AD83" s="376" t="s">
        <v>1674</v>
      </c>
      <c r="AE83" s="347"/>
      <c r="AF83" s="1"/>
      <c r="AG83" s="1"/>
      <c r="AH83" s="1"/>
      <c r="AI83" s="1"/>
    </row>
    <row r="84" spans="1:35" ht="39" customHeight="1">
      <c r="A84" s="1"/>
      <c r="B84" s="1"/>
      <c r="C84" s="294">
        <v>13</v>
      </c>
      <c r="D84" s="214" t="str">
        <v>en localité</v>
      </c>
      <c r="E84" s="214" t="str">
        <v>non</v>
      </c>
      <c r="F84" s="214" t="str">
        <v>3</v>
      </c>
      <c r="G84" s="214" t="str">
        <v>non</v>
      </c>
      <c r="H84" s="214" t="str">
        <v>oui</v>
      </c>
      <c r="I84" s="214" t="str">
        <v>-</v>
      </c>
      <c r="J84" s="214" t="str">
        <v>-</v>
      </c>
      <c r="K84" s="214" t="str">
        <v>-</v>
      </c>
      <c r="L84" s="214" t="str">
        <v>-</v>
      </c>
      <c r="M84" s="214" t="str">
        <v>-</v>
      </c>
      <c r="N84" s="214" t="str">
        <v>-</v>
      </c>
      <c r="O84" s="214" t="str">
        <v>-</v>
      </c>
      <c r="P84" s="214">
        <v>15634</v>
      </c>
      <c r="Q84" s="214" t="str">
        <v>non</v>
      </c>
      <c r="R84" s="289" t="str">
        <v>sûr</v>
      </c>
      <c r="S84" s="289" t="str">
        <v>instable</v>
      </c>
      <c r="T84" s="215" t="str">
        <v>non</v>
      </c>
      <c r="U84" s="215" t="str">
        <v>non</v>
      </c>
      <c r="V84" s="215" t="str">
        <v>non</v>
      </c>
      <c r="W84" s="215" t="str">
        <v>non</v>
      </c>
      <c r="X84" s="290" t="str">
        <v>non</v>
      </c>
      <c r="Y84" s="291" t="str">
        <v>élevé</v>
      </c>
      <c r="Z84" s="216" t="str">
        <v>Section 42</v>
      </c>
      <c r="AA84" s="378" t="s">
        <v>1935</v>
      </c>
      <c r="AB84" s="378"/>
      <c r="AC84" s="376" t="s">
        <v>1674</v>
      </c>
      <c r="AD84" s="376" t="s">
        <v>1674</v>
      </c>
      <c r="AE84" s="347"/>
      <c r="AF84" s="1"/>
      <c r="AG84" s="1"/>
      <c r="AH84" s="1"/>
      <c r="AI84" s="1"/>
    </row>
    <row r="85" spans="1:35" ht="39" customHeight="1">
      <c r="A85" s="1"/>
      <c r="B85" s="1"/>
      <c r="C85" s="294">
        <v>14</v>
      </c>
      <c r="D85" s="214" t="str">
        <v>en localité</v>
      </c>
      <c r="E85" s="214" t="str">
        <v>non</v>
      </c>
      <c r="F85" s="214" t="str">
        <v>3</v>
      </c>
      <c r="G85" s="214" t="str">
        <v>non</v>
      </c>
      <c r="H85" s="214" t="str">
        <v>oui</v>
      </c>
      <c r="I85" s="214" t="str">
        <v>-</v>
      </c>
      <c r="J85" s="214" t="str">
        <v>-</v>
      </c>
      <c r="K85" s="214" t="str">
        <v>-</v>
      </c>
      <c r="L85" s="214" t="str">
        <v>-</v>
      </c>
      <c r="M85" s="214" t="str">
        <v>-</v>
      </c>
      <c r="N85" s="214" t="str">
        <v>-</v>
      </c>
      <c r="O85" s="214" t="str">
        <v>-</v>
      </c>
      <c r="P85" s="214">
        <v>7687</v>
      </c>
      <c r="Q85" s="214" t="str">
        <v>non</v>
      </c>
      <c r="R85" s="289" t="str">
        <v>sûr</v>
      </c>
      <c r="S85" s="289" t="str">
        <v>fluide</v>
      </c>
      <c r="T85" s="215" t="str">
        <v>non</v>
      </c>
      <c r="U85" s="215" t="str">
        <v>oui</v>
      </c>
      <c r="V85" s="215" t="str">
        <v>non</v>
      </c>
      <c r="W85" s="215" t="str">
        <v>oui</v>
      </c>
      <c r="X85" s="290" t="str">
        <v>oui</v>
      </c>
      <c r="Y85" s="291" t="str">
        <v>élevé</v>
      </c>
      <c r="Z85" s="216" t="str">
        <v>Section 43</v>
      </c>
      <c r="AA85" s="378" t="s">
        <v>1935</v>
      </c>
      <c r="AB85" s="378"/>
      <c r="AC85" s="376" t="s">
        <v>1674</v>
      </c>
      <c r="AD85" s="376" t="s">
        <v>1674</v>
      </c>
      <c r="AE85" s="347"/>
      <c r="AF85" s="1"/>
      <c r="AG85" s="1"/>
      <c r="AH85" s="1"/>
      <c r="AI85" s="1"/>
    </row>
    <row r="86" spans="1:35" ht="39" customHeight="1">
      <c r="A86" s="1"/>
      <c r="B86" s="1"/>
      <c r="C86" s="294">
        <v>15</v>
      </c>
      <c r="D86" s="214" t="str">
        <v>en localité</v>
      </c>
      <c r="E86" s="214" t="str">
        <v>non</v>
      </c>
      <c r="F86" s="214" t="str">
        <v>3</v>
      </c>
      <c r="G86" s="214" t="str">
        <v>non</v>
      </c>
      <c r="H86" s="214" t="str">
        <v>non</v>
      </c>
      <c r="I86" s="214" t="str">
        <v>-</v>
      </c>
      <c r="J86" s="214" t="str">
        <v>-</v>
      </c>
      <c r="K86" s="214" t="str">
        <v>-</v>
      </c>
      <c r="L86" s="214" t="str">
        <v>-</v>
      </c>
      <c r="M86" s="214" t="str">
        <v>-</v>
      </c>
      <c r="N86" s="214" t="str">
        <v>-</v>
      </c>
      <c r="O86" s="214" t="str">
        <v>-</v>
      </c>
      <c r="P86" s="214">
        <v>19200</v>
      </c>
      <c r="Q86" s="214" t="str">
        <v>non</v>
      </c>
      <c r="R86" s="289" t="str">
        <v>sûr</v>
      </c>
      <c r="S86" s="289" t="str">
        <v>instable</v>
      </c>
      <c r="T86" s="215" t="str">
        <v>non</v>
      </c>
      <c r="U86" s="215" t="str">
        <v>non</v>
      </c>
      <c r="V86" s="215" t="str">
        <v>non</v>
      </c>
      <c r="W86" s="215" t="str">
        <v>non</v>
      </c>
      <c r="X86" s="290" t="str">
        <v>non</v>
      </c>
      <c r="Y86" s="291" t="str">
        <v>élevé</v>
      </c>
      <c r="Z86" s="216" t="str">
        <v>Section 45</v>
      </c>
      <c r="AA86" s="378" t="s">
        <v>1935</v>
      </c>
      <c r="AB86" s="378"/>
      <c r="AC86" s="376" t="s">
        <v>1674</v>
      </c>
      <c r="AD86" s="376" t="s">
        <v>1674</v>
      </c>
      <c r="AE86" s="347"/>
      <c r="AF86" s="1"/>
      <c r="AG86" s="1"/>
      <c r="AH86" s="1"/>
      <c r="AI86" s="1"/>
    </row>
    <row r="87" spans="1:35" ht="39" customHeight="1">
      <c r="A87" s="1"/>
      <c r="B87" s="1"/>
      <c r="C87" s="294">
        <v>16</v>
      </c>
      <c r="D87" s="214" t="str">
        <v>en localité</v>
      </c>
      <c r="E87" s="214" t="str">
        <v>non</v>
      </c>
      <c r="F87" s="214" t="str">
        <v>3</v>
      </c>
      <c r="G87" s="214" t="str">
        <v>non</v>
      </c>
      <c r="H87" s="214" t="str">
        <v>non</v>
      </c>
      <c r="I87" s="214" t="str">
        <v>-</v>
      </c>
      <c r="J87" s="214" t="str">
        <v>-</v>
      </c>
      <c r="K87" s="214" t="str">
        <v>-</v>
      </c>
      <c r="L87" s="214" t="str">
        <v>-</v>
      </c>
      <c r="M87" s="214" t="str">
        <v>-</v>
      </c>
      <c r="N87" s="214" t="str">
        <v>-</v>
      </c>
      <c r="O87" s="214" t="str">
        <v>-</v>
      </c>
      <c r="P87" s="214">
        <v>12548</v>
      </c>
      <c r="Q87" s="214" t="str">
        <v>non</v>
      </c>
      <c r="R87" s="289" t="str">
        <v>sûr</v>
      </c>
      <c r="S87" s="289" t="str">
        <v>acceptable</v>
      </c>
      <c r="T87" s="215" t="str">
        <v>non</v>
      </c>
      <c r="U87" s="215" t="str">
        <v>non</v>
      </c>
      <c r="V87" s="215" t="str">
        <v>oui</v>
      </c>
      <c r="W87" s="215" t="str">
        <v>non</v>
      </c>
      <c r="X87" s="290" t="str">
        <v>oui</v>
      </c>
      <c r="Y87" s="291" t="str">
        <v>élevé</v>
      </c>
      <c r="Z87" s="216" t="str">
        <v>Section 49</v>
      </c>
      <c r="AA87" s="378" t="s">
        <v>1935</v>
      </c>
      <c r="AB87" s="378"/>
      <c r="AC87" s="376" t="s">
        <v>1674</v>
      </c>
      <c r="AD87" s="376" t="s">
        <v>1674</v>
      </c>
      <c r="AE87" s="347"/>
      <c r="AF87" s="1"/>
      <c r="AG87" s="1"/>
      <c r="AH87" s="1"/>
      <c r="AI87" s="1"/>
    </row>
    <row r="88" spans="1:35" ht="39" customHeight="1">
      <c r="A88" s="1"/>
      <c r="B88" s="1"/>
      <c r="C88" s="294">
        <v>17</v>
      </c>
      <c r="D88" s="214" t="str">
        <v>en localité</v>
      </c>
      <c r="E88" s="214" t="str">
        <v>non</v>
      </c>
      <c r="F88" s="214" t="str">
        <v>3</v>
      </c>
      <c r="G88" s="214" t="str">
        <v>non</v>
      </c>
      <c r="H88" s="214" t="str">
        <v>oui</v>
      </c>
      <c r="I88" s="214" t="str">
        <v>-</v>
      </c>
      <c r="J88" s="214" t="str">
        <v>-</v>
      </c>
      <c r="K88" s="214" t="str">
        <v>-</v>
      </c>
      <c r="L88" s="214" t="str">
        <v>-</v>
      </c>
      <c r="M88" s="214" t="str">
        <v>-</v>
      </c>
      <c r="N88" s="214" t="str">
        <v>-</v>
      </c>
      <c r="O88" s="214" t="str">
        <v>-</v>
      </c>
      <c r="P88" s="214">
        <v>25814</v>
      </c>
      <c r="Q88" s="214" t="str">
        <v>non</v>
      </c>
      <c r="R88" s="289" t="str">
        <v>acceptable</v>
      </c>
      <c r="S88" s="289" t="str">
        <v>instable</v>
      </c>
      <c r="T88" s="215" t="str">
        <v>oui</v>
      </c>
      <c r="U88" s="215" t="str">
        <v>non</v>
      </c>
      <c r="V88" s="215" t="str">
        <v>non</v>
      </c>
      <c r="W88" s="215" t="str">
        <v>non</v>
      </c>
      <c r="X88" s="290" t="str">
        <v>oui</v>
      </c>
      <c r="Y88" s="291" t="str">
        <v>élevé</v>
      </c>
      <c r="Z88" s="216" t="str">
        <v>Section 52</v>
      </c>
      <c r="AA88" s="378" t="s">
        <v>1935</v>
      </c>
      <c r="AB88" s="378"/>
      <c r="AC88" s="376" t="s">
        <v>1674</v>
      </c>
      <c r="AD88" s="376" t="s">
        <v>1674</v>
      </c>
      <c r="AE88" s="347"/>
      <c r="AF88" s="1"/>
      <c r="AG88" s="1"/>
      <c r="AH88" s="1"/>
      <c r="AI88" s="1"/>
    </row>
    <row r="89" spans="1:35" ht="39" customHeight="1">
      <c r="A89" s="1"/>
      <c r="B89" s="1"/>
      <c r="C89" s="294">
        <v>18</v>
      </c>
      <c r="D89" s="214" t="str">
        <v>en localité</v>
      </c>
      <c r="E89" s="214" t="str">
        <v>non</v>
      </c>
      <c r="F89" s="214" t="str">
        <v>3</v>
      </c>
      <c r="G89" s="214" t="str">
        <v>non</v>
      </c>
      <c r="H89" s="214" t="str">
        <v>oui</v>
      </c>
      <c r="I89" s="214" t="str">
        <v>-</v>
      </c>
      <c r="J89" s="214" t="str">
        <v>-</v>
      </c>
      <c r="K89" s="214" t="str">
        <v>-</v>
      </c>
      <c r="L89" s="214" t="str">
        <v>-</v>
      </c>
      <c r="M89" s="214" t="str">
        <v>-</v>
      </c>
      <c r="N89" s="214" t="str">
        <v>-</v>
      </c>
      <c r="O89" s="214" t="str">
        <v>-</v>
      </c>
      <c r="P89" s="214">
        <v>14988</v>
      </c>
      <c r="Q89" s="214" t="str">
        <v>non</v>
      </c>
      <c r="R89" s="289" t="str">
        <v>sûr</v>
      </c>
      <c r="S89" s="289" t="str">
        <v>instable</v>
      </c>
      <c r="T89" s="215" t="str">
        <v>non</v>
      </c>
      <c r="U89" s="215" t="str">
        <v>non</v>
      </c>
      <c r="V89" s="215" t="str">
        <v>non</v>
      </c>
      <c r="W89" s="215" t="str">
        <v>non</v>
      </c>
      <c r="X89" s="290" t="str">
        <v>non</v>
      </c>
      <c r="Y89" s="291" t="str">
        <v>élevé</v>
      </c>
      <c r="Z89" s="216" t="str">
        <v>Section 54</v>
      </c>
      <c r="AA89" s="378" t="s">
        <v>1935</v>
      </c>
      <c r="AB89" s="378"/>
      <c r="AC89" s="376" t="s">
        <v>1674</v>
      </c>
      <c r="AD89" s="376" t="s">
        <v>1674</v>
      </c>
      <c r="AE89" s="347"/>
      <c r="AF89" s="1"/>
      <c r="AG89" s="1"/>
      <c r="AH89" s="1"/>
      <c r="AI89" s="1"/>
    </row>
    <row r="90" spans="1:35" ht="39" customHeight="1">
      <c r="A90" s="1"/>
      <c r="B90" s="1"/>
      <c r="C90" s="294">
        <v>19</v>
      </c>
      <c r="D90" s="214" t="str">
        <v>en localité</v>
      </c>
      <c r="E90" s="214" t="str">
        <v>non</v>
      </c>
      <c r="F90" s="214" t="str">
        <v>3</v>
      </c>
      <c r="G90" s="214" t="str">
        <v>non</v>
      </c>
      <c r="H90" s="214" t="str">
        <v>oui</v>
      </c>
      <c r="I90" s="214" t="str">
        <v>-</v>
      </c>
      <c r="J90" s="214" t="str">
        <v>-</v>
      </c>
      <c r="K90" s="214" t="str">
        <v>-</v>
      </c>
      <c r="L90" s="214" t="str">
        <v>-</v>
      </c>
      <c r="M90" s="214" t="str">
        <v>-</v>
      </c>
      <c r="N90" s="214" t="str">
        <v>-</v>
      </c>
      <c r="O90" s="214" t="str">
        <v>-</v>
      </c>
      <c r="P90" s="214">
        <v>15578</v>
      </c>
      <c r="Q90" s="214" t="str">
        <v>non</v>
      </c>
      <c r="R90" s="289" t="str">
        <v>sûr</v>
      </c>
      <c r="S90" s="289" t="str">
        <v>instable</v>
      </c>
      <c r="T90" s="215" t="str">
        <v>non</v>
      </c>
      <c r="U90" s="215" t="str">
        <v>non</v>
      </c>
      <c r="V90" s="215" t="str">
        <v>non</v>
      </c>
      <c r="W90" s="215" t="str">
        <v>non</v>
      </c>
      <c r="X90" s="290" t="str">
        <v>non</v>
      </c>
      <c r="Y90" s="291" t="str">
        <v>élevé</v>
      </c>
      <c r="Z90" s="216" t="str">
        <v>Section 55</v>
      </c>
      <c r="AA90" s="378" t="s">
        <v>1935</v>
      </c>
      <c r="AB90" s="378"/>
      <c r="AC90" s="376" t="s">
        <v>1674</v>
      </c>
      <c r="AD90" s="376" t="s">
        <v>1674</v>
      </c>
      <c r="AE90" s="347"/>
      <c r="AF90" s="1"/>
      <c r="AG90" s="1"/>
      <c r="AH90" s="1"/>
      <c r="AI90" s="1"/>
    </row>
    <row r="91" spans="1:35" ht="39" customHeight="1">
      <c r="A91" s="1"/>
      <c r="B91" s="1"/>
      <c r="C91" s="294">
        <v>20</v>
      </c>
      <c r="D91" s="214" t="str">
        <v>en localité</v>
      </c>
      <c r="E91" s="214" t="str">
        <v>non</v>
      </c>
      <c r="F91" s="214" t="str">
        <v>3</v>
      </c>
      <c r="G91" s="214" t="str">
        <v>non</v>
      </c>
      <c r="H91" s="214" t="str">
        <v>non</v>
      </c>
      <c r="I91" s="214" t="str">
        <v>-</v>
      </c>
      <c r="J91" s="214" t="str">
        <v>-</v>
      </c>
      <c r="K91" s="214" t="str">
        <v>-</v>
      </c>
      <c r="L91" s="214" t="str">
        <v>-</v>
      </c>
      <c r="M91" s="214" t="str">
        <v>-</v>
      </c>
      <c r="N91" s="214" t="str">
        <v>-</v>
      </c>
      <c r="O91" s="214" t="str">
        <v>-</v>
      </c>
      <c r="P91" s="214">
        <v>29527</v>
      </c>
      <c r="Q91" s="214" t="str">
        <v>non</v>
      </c>
      <c r="R91" s="289" t="str">
        <v>sûr</v>
      </c>
      <c r="S91" s="289" t="str">
        <v>instable</v>
      </c>
      <c r="T91" s="215" t="str">
        <v>non</v>
      </c>
      <c r="U91" s="215" t="str">
        <v>non</v>
      </c>
      <c r="V91" s="215" t="str">
        <v>non</v>
      </c>
      <c r="W91" s="215" t="str">
        <v>non</v>
      </c>
      <c r="X91" s="290" t="str">
        <v>non</v>
      </c>
      <c r="Y91" s="291" t="str">
        <v>élevé</v>
      </c>
      <c r="Z91" s="216" t="str">
        <v>Section 58</v>
      </c>
      <c r="AA91" s="378" t="s">
        <v>1935</v>
      </c>
      <c r="AB91" s="378"/>
      <c r="AC91" s="376" t="s">
        <v>1674</v>
      </c>
      <c r="AD91" s="376" t="s">
        <v>1674</v>
      </c>
      <c r="AE91" s="347"/>
      <c r="AF91" s="1"/>
      <c r="AG91" s="1"/>
      <c r="AH91" s="1"/>
      <c r="AI91" s="1"/>
    </row>
    <row r="92" spans="1:35" ht="39" customHeight="1">
      <c r="A92" s="1"/>
      <c r="B92" s="1"/>
      <c r="C92" s="294">
        <v>21</v>
      </c>
      <c r="D92" s="214" t="str">
        <v>en localité</v>
      </c>
      <c r="E92" s="214" t="str">
        <v>non</v>
      </c>
      <c r="F92" s="214" t="str">
        <v>&gt;3</v>
      </c>
      <c r="G92" s="214" t="str">
        <v>oui</v>
      </c>
      <c r="H92" s="214" t="str">
        <v>non</v>
      </c>
      <c r="I92" s="214" t="str">
        <v>-</v>
      </c>
      <c r="J92" s="214" t="str">
        <v>-</v>
      </c>
      <c r="K92" s="214" t="str">
        <v>-</v>
      </c>
      <c r="L92" s="214" t="str">
        <v>-</v>
      </c>
      <c r="M92" s="214" t="str">
        <v>-</v>
      </c>
      <c r="N92" s="214" t="str">
        <v>-</v>
      </c>
      <c r="O92" s="214" t="str">
        <v>-</v>
      </c>
      <c r="P92" s="214">
        <v>7053</v>
      </c>
      <c r="Q92" s="214" t="str">
        <v>non</v>
      </c>
      <c r="R92" s="289" t="str">
        <v>sûr</v>
      </c>
      <c r="S92" s="289" t="str">
        <v>fluide</v>
      </c>
      <c r="T92" s="215" t="str">
        <v>non</v>
      </c>
      <c r="U92" s="215" t="str">
        <v>non</v>
      </c>
      <c r="V92" s="215" t="str">
        <v>oui</v>
      </c>
      <c r="W92" s="215" t="str">
        <v>oui</v>
      </c>
      <c r="X92" s="290" t="str">
        <v>oui</v>
      </c>
      <c r="Y92" s="291" t="str">
        <v>élevé</v>
      </c>
      <c r="Z92" s="216" t="str">
        <v>Section 59</v>
      </c>
      <c r="AA92" s="378" t="s">
        <v>1935</v>
      </c>
      <c r="AB92" s="378"/>
      <c r="AC92" s="376" t="s">
        <v>1674</v>
      </c>
      <c r="AD92" s="376" t="s">
        <v>1674</v>
      </c>
      <c r="AE92" s="347"/>
      <c r="AF92" s="1"/>
      <c r="AG92" s="1"/>
      <c r="AH92" s="1"/>
      <c r="AI92" s="1"/>
    </row>
    <row r="93" spans="1:35" ht="39" customHeight="1">
      <c r="A93" s="1"/>
      <c r="B93" s="1"/>
      <c r="C93" s="294">
        <v>22</v>
      </c>
      <c r="D93" s="214" t="str">
        <v>en localité</v>
      </c>
      <c r="E93" s="214" t="str">
        <v>-</v>
      </c>
      <c r="F93" s="214" t="str">
        <v>-</v>
      </c>
      <c r="G93" s="214" t="str">
        <v>-</v>
      </c>
      <c r="H93" s="214" t="str">
        <v>-</v>
      </c>
      <c r="I93" s="214" t="str">
        <v>Route Principale</v>
      </c>
      <c r="J93" s="214" t="str">
        <v>Circulation mixte</v>
      </c>
      <c r="K93" s="214" t="str">
        <v>oui</v>
      </c>
      <c r="L93" s="214" t="str">
        <v>oui</v>
      </c>
      <c r="M93" s="214" t="str">
        <v>oui</v>
      </c>
      <c r="N93" s="214" t="str">
        <v>Bande cyclable</v>
      </c>
      <c r="O93" s="214" t="str">
        <v>-</v>
      </c>
      <c r="P93" s="214">
        <v>4849</v>
      </c>
      <c r="Q93" s="214" t="str">
        <v>non</v>
      </c>
      <c r="R93" s="289" t="str">
        <v>critique</v>
      </c>
      <c r="S93" s="289" t="str">
        <v>acceptable</v>
      </c>
      <c r="T93" s="215" t="str">
        <v>non</v>
      </c>
      <c r="U93" s="215" t="str">
        <v>non</v>
      </c>
      <c r="V93" s="215" t="str">
        <v>non</v>
      </c>
      <c r="W93" s="215" t="str">
        <v>non</v>
      </c>
      <c r="X93" s="290" t="str">
        <v>non</v>
      </c>
      <c r="Y93" s="291" t="str">
        <v>élevé</v>
      </c>
      <c r="Z93" s="216" t="str">
        <v>Section 67</v>
      </c>
      <c r="AA93" s="378" t="s">
        <v>1935</v>
      </c>
      <c r="AB93" s="378"/>
      <c r="AC93" s="376" t="s">
        <v>1674</v>
      </c>
      <c r="AD93" s="376" t="s">
        <v>1674</v>
      </c>
      <c r="AE93" s="347"/>
      <c r="AF93" s="1"/>
      <c r="AG93" s="1"/>
      <c r="AH93" s="1"/>
      <c r="AI93" s="1"/>
    </row>
    <row r="94" spans="1:35" ht="39" customHeight="1">
      <c r="A94" s="1"/>
      <c r="B94" s="1"/>
      <c r="C94" s="294">
        <v>23</v>
      </c>
      <c r="D94" s="214" t="str">
        <v>en localité</v>
      </c>
      <c r="E94" s="214" t="str">
        <v>-</v>
      </c>
      <c r="F94" s="214" t="str">
        <v>-</v>
      </c>
      <c r="G94" s="214" t="str">
        <v>-</v>
      </c>
      <c r="H94" s="214" t="str">
        <v>-</v>
      </c>
      <c r="I94" s="214" t="str">
        <v>Route Principale</v>
      </c>
      <c r="J94" s="214" t="str">
        <v>Circulation mixte</v>
      </c>
      <c r="K94" s="214" t="str">
        <v>non</v>
      </c>
      <c r="L94" s="214" t="str">
        <v>oui</v>
      </c>
      <c r="M94" s="214" t="str">
        <v>oui</v>
      </c>
      <c r="N94" s="214" t="str">
        <v>Sans</v>
      </c>
      <c r="O94" s="214" t="str">
        <v>-</v>
      </c>
      <c r="P94" s="214">
        <v>7997</v>
      </c>
      <c r="Q94" s="214" t="str">
        <v>non</v>
      </c>
      <c r="R94" s="289" t="str">
        <v>acceptable</v>
      </c>
      <c r="S94" s="289" t="str">
        <v>acceptable</v>
      </c>
      <c r="T94" s="215" t="str">
        <v>non</v>
      </c>
      <c r="U94" s="215" t="str">
        <v>non</v>
      </c>
      <c r="V94" s="215" t="str">
        <v>oui</v>
      </c>
      <c r="W94" s="215" t="str">
        <v>oui</v>
      </c>
      <c r="X94" s="290" t="str">
        <v>oui</v>
      </c>
      <c r="Y94" s="291" t="str">
        <v>élevé</v>
      </c>
      <c r="Z94" s="216" t="str">
        <v>Section 76</v>
      </c>
      <c r="AA94" s="378" t="s">
        <v>1935</v>
      </c>
      <c r="AB94" s="378"/>
      <c r="AC94" s="376" t="s">
        <v>1674</v>
      </c>
      <c r="AD94" s="376" t="s">
        <v>1674</v>
      </c>
      <c r="AE94" s="347"/>
      <c r="AF94" s="1"/>
      <c r="AG94" s="1"/>
      <c r="AH94" s="1"/>
      <c r="AI94" s="1"/>
    </row>
    <row r="95" spans="1:35" ht="39" customHeight="1">
      <c r="A95" s="1"/>
      <c r="B95" s="1"/>
      <c r="C95" s="294">
        <v>24</v>
      </c>
      <c r="D95" s="214" t="str">
        <v>en localité</v>
      </c>
      <c r="E95" s="214" t="str">
        <v>-</v>
      </c>
      <c r="F95" s="214" t="str">
        <v>-</v>
      </c>
      <c r="G95" s="214" t="str">
        <v>-</v>
      </c>
      <c r="H95" s="214" t="str">
        <v>-</v>
      </c>
      <c r="I95" s="214" t="str">
        <v>Route Principale</v>
      </c>
      <c r="J95" s="214" t="str">
        <v>Circulation mixte</v>
      </c>
      <c r="K95" s="214" t="str">
        <v>oui</v>
      </c>
      <c r="L95" s="214" t="str">
        <v>oui</v>
      </c>
      <c r="M95" s="214" t="str">
        <v>oui</v>
      </c>
      <c r="N95" s="214" t="str">
        <v>Sans</v>
      </c>
      <c r="O95" s="214" t="str">
        <v>-</v>
      </c>
      <c r="P95" s="214">
        <v>8256</v>
      </c>
      <c r="Q95" s="214" t="str">
        <v>non</v>
      </c>
      <c r="R95" s="289" t="str">
        <v>acceptable</v>
      </c>
      <c r="S95" s="289" t="str">
        <v>instable</v>
      </c>
      <c r="T95" s="215" t="str">
        <v>non</v>
      </c>
      <c r="U95" s="215" t="str">
        <v>non</v>
      </c>
      <c r="V95" s="215" t="str">
        <v>non</v>
      </c>
      <c r="W95" s="215" t="str">
        <v>non</v>
      </c>
      <c r="X95" s="290" t="str">
        <v>non</v>
      </c>
      <c r="Y95" s="291" t="str">
        <v>élevé</v>
      </c>
      <c r="Z95" s="216" t="str">
        <v>Section 78</v>
      </c>
      <c r="AA95" s="378" t="s">
        <v>1935</v>
      </c>
      <c r="AB95" s="378"/>
      <c r="AC95" s="376" t="s">
        <v>1674</v>
      </c>
      <c r="AD95" s="376" t="s">
        <v>1674</v>
      </c>
      <c r="AE95" s="347"/>
      <c r="AF95" s="1"/>
      <c r="AG95" s="1"/>
      <c r="AH95" s="1"/>
      <c r="AI95" s="1"/>
    </row>
    <row r="96" spans="1:35" ht="39" customHeight="1">
      <c r="A96" s="1"/>
      <c r="B96" s="1"/>
      <c r="C96" s="294">
        <v>25</v>
      </c>
      <c r="D96" s="214" t="str">
        <v>en localité</v>
      </c>
      <c r="E96" s="214" t="str">
        <v>-</v>
      </c>
      <c r="F96" s="214" t="str">
        <v>-</v>
      </c>
      <c r="G96" s="214" t="str">
        <v>-</v>
      </c>
      <c r="H96" s="214" t="str">
        <v>-</v>
      </c>
      <c r="I96" s="214" t="str">
        <v>Route Principale</v>
      </c>
      <c r="J96" s="214" t="str">
        <v>Circulation mixte</v>
      </c>
      <c r="K96" s="214" t="str">
        <v>oui</v>
      </c>
      <c r="L96" s="214" t="str">
        <v>oui</v>
      </c>
      <c r="M96" s="214" t="str">
        <v>oui</v>
      </c>
      <c r="N96" s="214" t="str">
        <v>Sans</v>
      </c>
      <c r="O96" s="214" t="str">
        <v>-</v>
      </c>
      <c r="P96" s="214">
        <v>8256</v>
      </c>
      <c r="Q96" s="214" t="str">
        <v>non</v>
      </c>
      <c r="R96" s="289" t="str">
        <v>acceptable</v>
      </c>
      <c r="S96" s="289" t="str">
        <v>instable</v>
      </c>
      <c r="T96" s="215" t="str">
        <v>non</v>
      </c>
      <c r="U96" s="215" t="str">
        <v>non</v>
      </c>
      <c r="V96" s="215" t="str">
        <v>non</v>
      </c>
      <c r="W96" s="215" t="str">
        <v>non</v>
      </c>
      <c r="X96" s="290" t="str">
        <v>non</v>
      </c>
      <c r="Y96" s="291" t="str">
        <v>élevé</v>
      </c>
      <c r="Z96" s="216" t="str">
        <v>Section 79</v>
      </c>
      <c r="AA96" s="378" t="s">
        <v>1935</v>
      </c>
      <c r="AB96" s="378"/>
      <c r="AC96" s="376" t="s">
        <v>1674</v>
      </c>
      <c r="AD96" s="376" t="s">
        <v>1674</v>
      </c>
      <c r="AE96" s="347"/>
      <c r="AF96" s="1"/>
      <c r="AG96" s="1"/>
      <c r="AH96" s="1"/>
      <c r="AI96" s="1"/>
    </row>
    <row r="97" spans="1:35" ht="39" customHeight="1">
      <c r="A97" s="1"/>
      <c r="B97" s="1"/>
      <c r="C97" s="294">
        <v>26</v>
      </c>
      <c r="D97" s="214" t="str">
        <v>en localité</v>
      </c>
      <c r="E97" s="214" t="str">
        <v>-</v>
      </c>
      <c r="F97" s="214" t="str">
        <v>-</v>
      </c>
      <c r="G97" s="214" t="str">
        <v>-</v>
      </c>
      <c r="H97" s="214" t="str">
        <v>-</v>
      </c>
      <c r="I97" s="214" t="str">
        <v>Route Principale</v>
      </c>
      <c r="J97" s="214" t="str">
        <v>Circulation mixte</v>
      </c>
      <c r="K97" s="214" t="str">
        <v>non</v>
      </c>
      <c r="L97" s="214" t="str">
        <v>oui</v>
      </c>
      <c r="M97" s="214" t="str">
        <v>oui</v>
      </c>
      <c r="N97" s="214" t="str">
        <v>Bande cyclable</v>
      </c>
      <c r="O97" s="214" t="str">
        <v>-</v>
      </c>
      <c r="P97" s="214">
        <v>13120</v>
      </c>
      <c r="Q97" s="214" t="str">
        <v>non</v>
      </c>
      <c r="R97" s="289" t="str">
        <v>acceptable</v>
      </c>
      <c r="S97" s="289" t="str">
        <v>instable</v>
      </c>
      <c r="T97" s="215" t="str">
        <v>non</v>
      </c>
      <c r="U97" s="215" t="str">
        <v>non</v>
      </c>
      <c r="V97" s="215" t="str">
        <v>non</v>
      </c>
      <c r="W97" s="215" t="str">
        <v>non</v>
      </c>
      <c r="X97" s="290" t="str">
        <v>non</v>
      </c>
      <c r="Y97" s="291" t="str">
        <v>élevé</v>
      </c>
      <c r="Z97" s="216" t="str">
        <v>Section 81</v>
      </c>
      <c r="AA97" s="378" t="s">
        <v>1935</v>
      </c>
      <c r="AB97" s="378"/>
      <c r="AC97" s="376" t="s">
        <v>1674</v>
      </c>
      <c r="AD97" s="376" t="s">
        <v>1674</v>
      </c>
      <c r="AE97" s="347"/>
      <c r="AF97" s="1"/>
      <c r="AG97" s="1"/>
      <c r="AH97" s="1"/>
      <c r="AI97" s="1"/>
    </row>
    <row r="98" spans="1:35" ht="39" customHeight="1">
      <c r="A98" s="1"/>
      <c r="B98" s="1"/>
      <c r="C98" s="294">
        <v>27</v>
      </c>
      <c r="D98" s="214" t="str">
        <v>en localité</v>
      </c>
      <c r="E98" s="214" t="str">
        <v>-</v>
      </c>
      <c r="F98" s="214" t="str">
        <v>-</v>
      </c>
      <c r="G98" s="214" t="str">
        <v>-</v>
      </c>
      <c r="H98" s="214" t="str">
        <v>-</v>
      </c>
      <c r="I98" s="214" t="str">
        <v>Route Principale</v>
      </c>
      <c r="J98" s="214" t="str">
        <v>Circulation mixte</v>
      </c>
      <c r="K98" s="214" t="str">
        <v>oui</v>
      </c>
      <c r="L98" s="214" t="str">
        <v>oui</v>
      </c>
      <c r="M98" s="214" t="str">
        <v>oui</v>
      </c>
      <c r="N98" s="214" t="str">
        <v>Bande cyclable</v>
      </c>
      <c r="O98" s="214" t="str">
        <v>-</v>
      </c>
      <c r="P98" s="214">
        <v>8256</v>
      </c>
      <c r="Q98" s="214" t="str">
        <v>non</v>
      </c>
      <c r="R98" s="289" t="str">
        <v>critique</v>
      </c>
      <c r="S98" s="289" t="str">
        <v>instable</v>
      </c>
      <c r="T98" s="215" t="str">
        <v>non</v>
      </c>
      <c r="U98" s="215" t="str">
        <v>non</v>
      </c>
      <c r="V98" s="215" t="str">
        <v>non</v>
      </c>
      <c r="W98" s="215" t="str">
        <v>non</v>
      </c>
      <c r="X98" s="290" t="str">
        <v>non</v>
      </c>
      <c r="Y98" s="291" t="str">
        <v>élevé</v>
      </c>
      <c r="Z98" s="216" t="str">
        <v>Section 82</v>
      </c>
      <c r="AA98" s="378" t="s">
        <v>1935</v>
      </c>
      <c r="AB98" s="378"/>
      <c r="AC98" s="376" t="s">
        <v>1674</v>
      </c>
      <c r="AD98" s="376" t="s">
        <v>1674</v>
      </c>
      <c r="AE98" s="347"/>
      <c r="AF98" s="1"/>
      <c r="AG98" s="1"/>
      <c r="AH98" s="1"/>
      <c r="AI98" s="1"/>
    </row>
    <row r="99" spans="1:35" ht="39" customHeight="1">
      <c r="A99" s="1"/>
      <c r="B99" s="1"/>
      <c r="C99" s="294">
        <v>28</v>
      </c>
      <c r="D99" s="214" t="str">
        <v>en localité</v>
      </c>
      <c r="E99" s="214" t="str">
        <v>-</v>
      </c>
      <c r="F99" s="214" t="str">
        <v>-</v>
      </c>
      <c r="G99" s="214" t="str">
        <v>-</v>
      </c>
      <c r="H99" s="214" t="str">
        <v>-</v>
      </c>
      <c r="I99" s="214" t="str">
        <v>Route Principale</v>
      </c>
      <c r="J99" s="214" t="str">
        <v>Circulation mixte</v>
      </c>
      <c r="K99" s="214" t="str">
        <v>non</v>
      </c>
      <c r="L99" s="214" t="str">
        <v>oui</v>
      </c>
      <c r="M99" s="214" t="str">
        <v>oui</v>
      </c>
      <c r="N99" s="214" t="str">
        <v>Bande cyclable</v>
      </c>
      <c r="O99" s="214" t="str">
        <v>-</v>
      </c>
      <c r="P99" s="214">
        <v>13120</v>
      </c>
      <c r="Q99" s="214" t="str">
        <v>non</v>
      </c>
      <c r="R99" s="289" t="str">
        <v>acceptable</v>
      </c>
      <c r="S99" s="289" t="str">
        <v>instable</v>
      </c>
      <c r="T99" s="215" t="str">
        <v>non</v>
      </c>
      <c r="U99" s="215" t="str">
        <v>non</v>
      </c>
      <c r="V99" s="215" t="str">
        <v>oui</v>
      </c>
      <c r="W99" s="215" t="str">
        <v>non</v>
      </c>
      <c r="X99" s="290" t="str">
        <v>oui</v>
      </c>
      <c r="Y99" s="291" t="str">
        <v>élevé</v>
      </c>
      <c r="Z99" s="216" t="str">
        <v>Section 85</v>
      </c>
      <c r="AA99" s="378" t="s">
        <v>1935</v>
      </c>
      <c r="AB99" s="378"/>
      <c r="AC99" s="376" t="s">
        <v>1674</v>
      </c>
      <c r="AD99" s="376" t="s">
        <v>1674</v>
      </c>
      <c r="AE99" s="347"/>
      <c r="AF99" s="1"/>
      <c r="AG99" s="1"/>
      <c r="AH99" s="1"/>
      <c r="AI99" s="1"/>
    </row>
    <row r="100" spans="1:35" ht="39" customHeight="1">
      <c r="A100" s="1"/>
      <c r="B100" s="1"/>
      <c r="C100" s="294">
        <v>29</v>
      </c>
      <c r="D100" s="214" t="str">
        <v>en localité</v>
      </c>
      <c r="E100" s="214" t="str">
        <v>-</v>
      </c>
      <c r="F100" s="214" t="str">
        <v>-</v>
      </c>
      <c r="G100" s="214" t="str">
        <v>-</v>
      </c>
      <c r="H100" s="214" t="str">
        <v>-</v>
      </c>
      <c r="I100" s="214" t="str">
        <v>Route Principale</v>
      </c>
      <c r="J100" s="214" t="str">
        <v>Circulation mixte</v>
      </c>
      <c r="K100" s="214" t="str">
        <v>non</v>
      </c>
      <c r="L100" s="214" t="str">
        <v>oui</v>
      </c>
      <c r="M100" s="214" t="str">
        <v>oui</v>
      </c>
      <c r="N100" s="214" t="str">
        <v>Bande cyclable</v>
      </c>
      <c r="O100" s="214" t="str">
        <v>-</v>
      </c>
      <c r="P100" s="214">
        <v>7145</v>
      </c>
      <c r="Q100" s="214" t="str">
        <v>non</v>
      </c>
      <c r="R100" s="289" t="str">
        <v>acceptable</v>
      </c>
      <c r="S100" s="289" t="str">
        <v>acceptable</v>
      </c>
      <c r="T100" s="215" t="str">
        <v>non</v>
      </c>
      <c r="U100" s="215" t="str">
        <v>oui</v>
      </c>
      <c r="V100" s="215" t="str">
        <v>non</v>
      </c>
      <c r="W100" s="215" t="str">
        <v>non</v>
      </c>
      <c r="X100" s="290" t="str">
        <v>oui</v>
      </c>
      <c r="Y100" s="291" t="str">
        <v>élevé</v>
      </c>
      <c r="Z100" s="216" t="str">
        <v>Section 87</v>
      </c>
      <c r="AA100" s="378" t="s">
        <v>1935</v>
      </c>
      <c r="AB100" s="378"/>
      <c r="AC100" s="376" t="s">
        <v>1674</v>
      </c>
      <c r="AD100" s="376" t="s">
        <v>1674</v>
      </c>
      <c r="AE100" s="347"/>
      <c r="AF100" s="1"/>
      <c r="AG100" s="1"/>
      <c r="AH100" s="1"/>
      <c r="AI100" s="1"/>
    </row>
    <row r="101" spans="1:35" ht="39" customHeight="1">
      <c r="A101" s="1"/>
      <c r="B101" s="1"/>
      <c r="C101" s="294">
        <v>30</v>
      </c>
      <c r="D101" s="214" t="str">
        <v>en localité</v>
      </c>
      <c r="E101" s="214" t="str">
        <v>-</v>
      </c>
      <c r="F101" s="214" t="str">
        <v>-</v>
      </c>
      <c r="G101" s="214" t="str">
        <v>-</v>
      </c>
      <c r="H101" s="214" t="str">
        <v>-</v>
      </c>
      <c r="I101" s="214" t="str">
        <v>Route Principale</v>
      </c>
      <c r="J101" s="214" t="str">
        <v>Circulation mixte</v>
      </c>
      <c r="K101" s="214" t="str">
        <v>non</v>
      </c>
      <c r="L101" s="214" t="str">
        <v>oui</v>
      </c>
      <c r="M101" s="214" t="str">
        <v>oui</v>
      </c>
      <c r="N101" s="214" t="str">
        <v>Sans</v>
      </c>
      <c r="O101" s="214" t="str">
        <v>-</v>
      </c>
      <c r="P101" s="214">
        <v>7145</v>
      </c>
      <c r="Q101" s="214" t="str">
        <v>non</v>
      </c>
      <c r="R101" s="289" t="str">
        <v>acceptable</v>
      </c>
      <c r="S101" s="289" t="str">
        <v>acceptable</v>
      </c>
      <c r="T101" s="215" t="str">
        <v>oui</v>
      </c>
      <c r="U101" s="215" t="str">
        <v>non</v>
      </c>
      <c r="V101" s="215" t="str">
        <v>non</v>
      </c>
      <c r="W101" s="215" t="str">
        <v>non</v>
      </c>
      <c r="X101" s="290" t="str">
        <v>oui</v>
      </c>
      <c r="Y101" s="291" t="str">
        <v>élevé</v>
      </c>
      <c r="Z101" s="216" t="str">
        <v>Section 89</v>
      </c>
      <c r="AA101" s="378" t="s">
        <v>1935</v>
      </c>
      <c r="AB101" s="378"/>
      <c r="AC101" s="376" t="s">
        <v>1674</v>
      </c>
      <c r="AD101" s="376" t="s">
        <v>1674</v>
      </c>
      <c r="AE101" s="347"/>
      <c r="AF101" s="1"/>
      <c r="AG101" s="1"/>
      <c r="AH101" s="1"/>
      <c r="AI101" s="1"/>
    </row>
    <row r="102" spans="1:35" ht="39" customHeight="1">
      <c r="A102" s="1"/>
      <c r="B102" s="1"/>
      <c r="C102" s="294">
        <v>31</v>
      </c>
      <c r="D102" s="214" t="str">
        <v>en localité</v>
      </c>
      <c r="E102" s="214" t="str">
        <v>-</v>
      </c>
      <c r="F102" s="214" t="str">
        <v>-</v>
      </c>
      <c r="G102" s="214" t="str">
        <v>-</v>
      </c>
      <c r="H102" s="214" t="str">
        <v>-</v>
      </c>
      <c r="I102" s="214" t="str">
        <v>Route Principale</v>
      </c>
      <c r="J102" s="214" t="str">
        <v>Circulation mixte</v>
      </c>
      <c r="K102" s="214" t="str">
        <v>oui</v>
      </c>
      <c r="L102" s="214" t="str">
        <v>oui</v>
      </c>
      <c r="M102" s="214" t="str">
        <v>oui</v>
      </c>
      <c r="N102" s="214" t="str">
        <v>Sans</v>
      </c>
      <c r="O102" s="214" t="str">
        <v>-</v>
      </c>
      <c r="P102" s="214">
        <v>8256</v>
      </c>
      <c r="Q102" s="214" t="str">
        <v>non</v>
      </c>
      <c r="R102" s="289" t="str">
        <v>acceptable</v>
      </c>
      <c r="S102" s="289" t="str">
        <v>instable</v>
      </c>
      <c r="T102" s="215" t="str">
        <v>non</v>
      </c>
      <c r="U102" s="215" t="str">
        <v>non</v>
      </c>
      <c r="V102" s="215" t="str">
        <v>non</v>
      </c>
      <c r="W102" s="215" t="str">
        <v>non</v>
      </c>
      <c r="X102" s="290" t="str">
        <v>non</v>
      </c>
      <c r="Y102" s="291" t="str">
        <v>élevé</v>
      </c>
      <c r="Z102" s="216" t="str">
        <v>Section 91</v>
      </c>
      <c r="AA102" s="378" t="s">
        <v>1935</v>
      </c>
      <c r="AB102" s="378"/>
      <c r="AC102" s="376" t="s">
        <v>1674</v>
      </c>
      <c r="AD102" s="376" t="s">
        <v>1674</v>
      </c>
      <c r="AE102" s="347"/>
      <c r="AF102" s="1"/>
      <c r="AG102" s="1"/>
      <c r="AH102" s="1"/>
      <c r="AI102" s="1"/>
    </row>
    <row r="103" spans="1:35" ht="39" customHeight="1">
      <c r="A103" s="1"/>
      <c r="B103" s="1"/>
      <c r="C103" s="294">
        <v>32</v>
      </c>
      <c r="D103" s="214" t="str">
        <v>en localité</v>
      </c>
      <c r="E103" s="214" t="str">
        <v>-</v>
      </c>
      <c r="F103" s="214" t="str">
        <v>-</v>
      </c>
      <c r="G103" s="214" t="str">
        <v>-</v>
      </c>
      <c r="H103" s="214" t="str">
        <v>-</v>
      </c>
      <c r="I103" s="214" t="str">
        <v>Route Principale</v>
      </c>
      <c r="J103" s="214" t="str">
        <v>Circulation mixte</v>
      </c>
      <c r="K103" s="214" t="str">
        <v>oui</v>
      </c>
      <c r="L103" s="214" t="str">
        <v>oui</v>
      </c>
      <c r="M103" s="214" t="str">
        <v>oui</v>
      </c>
      <c r="N103" s="214" t="str">
        <v>Sans</v>
      </c>
      <c r="O103" s="214" t="str">
        <v>-</v>
      </c>
      <c r="P103" s="214">
        <v>7918</v>
      </c>
      <c r="Q103" s="214" t="str">
        <v>non</v>
      </c>
      <c r="R103" s="289" t="str">
        <v>acceptable</v>
      </c>
      <c r="S103" s="289" t="str">
        <v>instable</v>
      </c>
      <c r="T103" s="215" t="str">
        <v>non</v>
      </c>
      <c r="U103" s="215" t="str">
        <v>non</v>
      </c>
      <c r="V103" s="215" t="str">
        <v>non</v>
      </c>
      <c r="W103" s="215" t="str">
        <v>non</v>
      </c>
      <c r="X103" s="290" t="str">
        <v>non</v>
      </c>
      <c r="Y103" s="291" t="str">
        <v>élevé</v>
      </c>
      <c r="Z103" s="216" t="str">
        <v>Section 92</v>
      </c>
      <c r="AA103" s="378" t="s">
        <v>1935</v>
      </c>
      <c r="AB103" s="379"/>
      <c r="AC103" s="376" t="s">
        <v>1674</v>
      </c>
      <c r="AD103" s="376" t="s">
        <v>1674</v>
      </c>
      <c r="AE103" s="347"/>
      <c r="AF103" s="1"/>
      <c r="AG103" s="1"/>
      <c r="AH103" s="1"/>
      <c r="AI103" s="1"/>
    </row>
    <row r="104" spans="1:35" ht="39" customHeight="1">
      <c r="A104" s="1"/>
      <c r="B104" s="1"/>
      <c r="C104" s="294">
        <v>33</v>
      </c>
      <c r="D104" s="214" t="str">
        <v>hors localité</v>
      </c>
      <c r="E104" s="214" t="str">
        <v>-</v>
      </c>
      <c r="F104" s="214" t="str">
        <v>-</v>
      </c>
      <c r="G104" s="214" t="str">
        <v>-</v>
      </c>
      <c r="H104" s="214" t="str">
        <v>-</v>
      </c>
      <c r="I104" s="214" t="str">
        <v>Route Principale</v>
      </c>
      <c r="J104" s="214" t="str">
        <v>Circulation mixte</v>
      </c>
      <c r="K104" s="214" t="str">
        <v>non</v>
      </c>
      <c r="L104" s="214" t="str">
        <v>-</v>
      </c>
      <c r="M104" s="214" t="str">
        <v>-</v>
      </c>
      <c r="N104" s="214" t="str">
        <v>Sans</v>
      </c>
      <c r="O104" s="214" t="str">
        <v>-</v>
      </c>
      <c r="P104" s="214">
        <v>7184</v>
      </c>
      <c r="Q104" s="214" t="str">
        <v>non</v>
      </c>
      <c r="R104" s="289" t="str">
        <v>sûr</v>
      </c>
      <c r="S104" s="289" t="str">
        <v>fluide</v>
      </c>
      <c r="T104" s="215" t="str">
        <v>non</v>
      </c>
      <c r="U104" s="215" t="str">
        <v>non</v>
      </c>
      <c r="V104" s="215" t="str">
        <v>oui</v>
      </c>
      <c r="W104" s="215" t="str">
        <v>non</v>
      </c>
      <c r="X104" s="290" t="str">
        <v>oui</v>
      </c>
      <c r="Y104" s="291" t="str">
        <v>élevé</v>
      </c>
      <c r="Z104" s="216" t="str">
        <v>Section 118</v>
      </c>
      <c r="AA104" s="378" t="s">
        <v>1935</v>
      </c>
      <c r="AB104" s="379"/>
      <c r="AC104" s="376" t="s">
        <v>1674</v>
      </c>
      <c r="AD104" s="376" t="s">
        <v>1674</v>
      </c>
      <c r="AE104" s="347"/>
      <c r="AF104" s="1"/>
      <c r="AG104" s="1"/>
      <c r="AH104" s="1"/>
      <c r="AI104" s="1"/>
    </row>
    <row r="105" spans="1:35" ht="39" customHeight="1">
      <c r="A105" s="1"/>
      <c r="B105" s="1"/>
      <c r="C105" s="294">
        <v>34</v>
      </c>
      <c r="D105" s="214" t="str">
        <v>hors localité</v>
      </c>
      <c r="E105" s="214" t="str">
        <v>-</v>
      </c>
      <c r="F105" s="214" t="str">
        <v>-</v>
      </c>
      <c r="G105" s="214" t="str">
        <v>-</v>
      </c>
      <c r="H105" s="214" t="str">
        <v>-</v>
      </c>
      <c r="I105" s="214" t="str">
        <v>Route Principale</v>
      </c>
      <c r="J105" s="214" t="str">
        <v>Circulation mixte</v>
      </c>
      <c r="K105" s="214" t="str">
        <v>non</v>
      </c>
      <c r="L105" s="214" t="str">
        <v>-</v>
      </c>
      <c r="M105" s="214" t="str">
        <v>-</v>
      </c>
      <c r="N105" s="214" t="str">
        <v>Sans</v>
      </c>
      <c r="O105" s="214" t="str">
        <v>-</v>
      </c>
      <c r="P105" s="214">
        <v>6389</v>
      </c>
      <c r="Q105" s="214" t="str">
        <v>non</v>
      </c>
      <c r="R105" s="289" t="str">
        <v>sûr</v>
      </c>
      <c r="S105" s="289" t="str">
        <v>fluide</v>
      </c>
      <c r="T105" s="215" t="str">
        <v>non</v>
      </c>
      <c r="U105" s="215" t="str">
        <v>non</v>
      </c>
      <c r="V105" s="215" t="str">
        <v>non</v>
      </c>
      <c r="W105" s="215" t="str">
        <v>oui</v>
      </c>
      <c r="X105" s="290" t="str">
        <v>oui</v>
      </c>
      <c r="Y105" s="291" t="str">
        <v>élevé</v>
      </c>
      <c r="Z105" s="216" t="str">
        <v>Section 119</v>
      </c>
      <c r="AA105" s="378" t="s">
        <v>1935</v>
      </c>
      <c r="AB105" s="379"/>
      <c r="AC105" s="376" t="s">
        <v>1674</v>
      </c>
      <c r="AD105" s="376" t="s">
        <v>1674</v>
      </c>
      <c r="AE105" s="347"/>
      <c r="AF105" s="1"/>
      <c r="AG105" s="1"/>
      <c r="AH105" s="1"/>
      <c r="AI105" s="1"/>
    </row>
    <row r="106" spans="1:35" ht="39" customHeight="1">
      <c r="A106" s="1"/>
      <c r="B106" s="1"/>
      <c r="C106" s="294">
        <v>35</v>
      </c>
      <c r="D106" s="214" t="str">
        <v>hors localité</v>
      </c>
      <c r="E106" s="214" t="str">
        <v>-</v>
      </c>
      <c r="F106" s="214" t="str">
        <v>-</v>
      </c>
      <c r="G106" s="214" t="str">
        <v>-</v>
      </c>
      <c r="H106" s="214" t="str">
        <v>-</v>
      </c>
      <c r="I106" s="214" t="str">
        <v>Route Principale</v>
      </c>
      <c r="J106" s="214" t="str">
        <v>Circulation mixte</v>
      </c>
      <c r="K106" s="214" t="str">
        <v>non</v>
      </c>
      <c r="L106" s="214" t="str">
        <v>-</v>
      </c>
      <c r="M106" s="214" t="str">
        <v>-</v>
      </c>
      <c r="N106" s="214" t="str">
        <v>Sans</v>
      </c>
      <c r="O106" s="214" t="str">
        <v>-</v>
      </c>
      <c r="P106" s="214">
        <v>13573</v>
      </c>
      <c r="Q106" s="214" t="str">
        <v>non</v>
      </c>
      <c r="R106" s="289" t="str">
        <v>sûr</v>
      </c>
      <c r="S106" s="289" t="str">
        <v>fluide</v>
      </c>
      <c r="T106" s="215" t="str">
        <v>non</v>
      </c>
      <c r="U106" s="215" t="str">
        <v>non</v>
      </c>
      <c r="V106" s="215" t="str">
        <v>non</v>
      </c>
      <c r="W106" s="215" t="str">
        <v>oui</v>
      </c>
      <c r="X106" s="290" t="str">
        <v>oui</v>
      </c>
      <c r="Y106" s="291" t="str">
        <v>élevé</v>
      </c>
      <c r="Z106" s="216" t="str">
        <v>Section 126</v>
      </c>
      <c r="AA106" s="378" t="s">
        <v>1935</v>
      </c>
      <c r="AB106" s="379"/>
      <c r="AC106" s="376" t="s">
        <v>1674</v>
      </c>
      <c r="AD106" s="376" t="s">
        <v>1674</v>
      </c>
      <c r="AE106" s="347"/>
      <c r="AF106" s="1"/>
      <c r="AG106" s="1"/>
      <c r="AH106" s="1"/>
      <c r="AI106" s="1"/>
    </row>
    <row r="107" spans="1:35" ht="39" customHeight="1">
      <c r="A107" s="1"/>
      <c r="B107" s="1"/>
      <c r="C107" s="294">
        <v>36</v>
      </c>
      <c r="D107" s="214" t="str">
        <v>hors localité</v>
      </c>
      <c r="E107" s="214" t="str">
        <v>-</v>
      </c>
      <c r="F107" s="214" t="str">
        <v>-</v>
      </c>
      <c r="G107" s="214" t="str">
        <v>-</v>
      </c>
      <c r="H107" s="214" t="str">
        <v>-</v>
      </c>
      <c r="I107" s="214" t="str">
        <v>Route Principale</v>
      </c>
      <c r="J107" s="214" t="str">
        <v>Circulation mixte</v>
      </c>
      <c r="K107" s="214" t="str">
        <v>non</v>
      </c>
      <c r="L107" s="214" t="str">
        <v>-</v>
      </c>
      <c r="M107" s="214" t="str">
        <v>-</v>
      </c>
      <c r="N107" s="214" t="str">
        <v>Piste cyclable</v>
      </c>
      <c r="O107" s="214" t="str">
        <v>-</v>
      </c>
      <c r="P107" s="214">
        <v>5965</v>
      </c>
      <c r="Q107" s="214" t="str">
        <v>non</v>
      </c>
      <c r="R107" s="289" t="str">
        <v>sûr</v>
      </c>
      <c r="S107" s="289" t="str">
        <v>fluide</v>
      </c>
      <c r="T107" s="215" t="str">
        <v>non</v>
      </c>
      <c r="U107" s="215" t="str">
        <v>non</v>
      </c>
      <c r="V107" s="215" t="str">
        <v>oui</v>
      </c>
      <c r="W107" s="215" t="str">
        <v>non</v>
      </c>
      <c r="X107" s="290" t="str">
        <v>oui</v>
      </c>
      <c r="Y107" s="291" t="str">
        <v>élevé</v>
      </c>
      <c r="Z107" s="216" t="str">
        <v>Section 131</v>
      </c>
      <c r="AA107" s="378" t="s">
        <v>1935</v>
      </c>
      <c r="AB107" s="379"/>
      <c r="AC107" s="376" t="s">
        <v>1674</v>
      </c>
      <c r="AD107" s="376" t="s">
        <v>1674</v>
      </c>
      <c r="AE107" s="347"/>
      <c r="AF107" s="1"/>
      <c r="AG107" s="1"/>
      <c r="AH107" s="1"/>
      <c r="AI107" s="1"/>
    </row>
    <row r="108" spans="1:35" ht="39" customHeight="1">
      <c r="A108" s="1"/>
      <c r="B108" s="1"/>
      <c r="C108" s="294">
        <v>37</v>
      </c>
      <c r="D108" s="214" t="str">
        <v>hors localité</v>
      </c>
      <c r="E108" s="214" t="str">
        <v>-</v>
      </c>
      <c r="F108" s="214" t="str">
        <v>-</v>
      </c>
      <c r="G108" s="214" t="str">
        <v>-</v>
      </c>
      <c r="H108" s="214" t="str">
        <v>-</v>
      </c>
      <c r="I108" s="214" t="str">
        <v>Route Principale</v>
      </c>
      <c r="J108" s="214" t="str">
        <v>Circulation mixte</v>
      </c>
      <c r="K108" s="214" t="str">
        <v>non</v>
      </c>
      <c r="L108" s="214" t="str">
        <v>-</v>
      </c>
      <c r="M108" s="214" t="str">
        <v>-</v>
      </c>
      <c r="N108" s="214" t="str">
        <v>Piste cyclable</v>
      </c>
      <c r="O108" s="214" t="str">
        <v>-</v>
      </c>
      <c r="P108" s="214">
        <v>5965</v>
      </c>
      <c r="Q108" s="214" t="str">
        <v>non</v>
      </c>
      <c r="R108" s="289" t="str">
        <v>sûr</v>
      </c>
      <c r="S108" s="289" t="str">
        <v>fluide</v>
      </c>
      <c r="T108" s="215" t="str">
        <v>non</v>
      </c>
      <c r="U108" s="215" t="str">
        <v>non</v>
      </c>
      <c r="V108" s="215" t="str">
        <v>non</v>
      </c>
      <c r="W108" s="215" t="str">
        <v>oui</v>
      </c>
      <c r="X108" s="290" t="str">
        <v>oui</v>
      </c>
      <c r="Y108" s="291" t="str">
        <v>élevé</v>
      </c>
      <c r="Z108" s="216" t="str">
        <v>Section 135</v>
      </c>
      <c r="AA108" s="378" t="s">
        <v>1935</v>
      </c>
      <c r="AB108" s="379"/>
      <c r="AC108" s="376" t="s">
        <v>1674</v>
      </c>
      <c r="AD108" s="376" t="s">
        <v>1674</v>
      </c>
      <c r="AE108" s="347"/>
      <c r="AF108" s="1"/>
      <c r="AG108" s="1"/>
      <c r="AH108" s="1"/>
      <c r="AI108" s="1"/>
    </row>
    <row r="109" spans="1:35" ht="39" customHeight="1">
      <c r="A109" s="1"/>
      <c r="B109" s="1"/>
      <c r="C109" s="294">
        <v>38</v>
      </c>
      <c r="D109" s="214" t="str">
        <v>autoroute/route express</v>
      </c>
      <c r="E109" s="214" t="str">
        <v>-</v>
      </c>
      <c r="F109" s="214" t="str">
        <v>-</v>
      </c>
      <c r="G109" s="214" t="str">
        <v>-</v>
      </c>
      <c r="H109" s="214" t="str">
        <v>-</v>
      </c>
      <c r="I109" s="214" t="str">
        <v>Autoroute</v>
      </c>
      <c r="J109" s="214" t="str">
        <v>Tunnel</v>
      </c>
      <c r="K109" s="214" t="str">
        <v>-</v>
      </c>
      <c r="L109" s="214" t="str">
        <v>-</v>
      </c>
      <c r="M109" s="214" t="str">
        <v>-</v>
      </c>
      <c r="N109" s="214" t="str">
        <v>-</v>
      </c>
      <c r="O109" s="214" t="str">
        <v>-</v>
      </c>
      <c r="P109" s="214">
        <v>30000</v>
      </c>
      <c r="Q109" s="214" t="str">
        <v>non</v>
      </c>
      <c r="R109" s="289" t="str">
        <v>sûr</v>
      </c>
      <c r="S109" s="289" t="str">
        <v>instable</v>
      </c>
      <c r="T109" s="215" t="str">
        <v>non</v>
      </c>
      <c r="U109" s="215" t="str">
        <v>non</v>
      </c>
      <c r="V109" s="215" t="str">
        <v>non</v>
      </c>
      <c r="W109" s="215" t="str">
        <v>non</v>
      </c>
      <c r="X109" s="290" t="str">
        <v>non</v>
      </c>
      <c r="Y109" s="291" t="str">
        <v>élevé</v>
      </c>
      <c r="Z109" s="216" t="str">
        <v>Section 137</v>
      </c>
      <c r="AA109" s="378" t="s">
        <v>1935</v>
      </c>
      <c r="AB109" s="379"/>
      <c r="AC109" s="376" t="s">
        <v>1674</v>
      </c>
      <c r="AD109" s="376" t="s">
        <v>1674</v>
      </c>
      <c r="AE109" s="347"/>
      <c r="AF109" s="1"/>
      <c r="AG109" s="1"/>
      <c r="AH109" s="1"/>
      <c r="AI109" s="1"/>
    </row>
    <row r="110" spans="1:35" ht="39" customHeight="1">
      <c r="A110" s="1"/>
      <c r="B110" s="1"/>
      <c r="C110" s="294">
        <v>39</v>
      </c>
      <c r="D110" s="214"/>
      <c r="E110" s="214"/>
      <c r="F110" s="214"/>
      <c r="G110" s="214"/>
      <c r="H110" s="214"/>
      <c r="I110" s="214"/>
      <c r="J110" s="214"/>
      <c r="K110" s="214"/>
      <c r="L110" s="214"/>
      <c r="M110" s="214"/>
      <c r="N110" s="214"/>
      <c r="O110" s="214"/>
      <c r="P110" s="214"/>
      <c r="Q110" s="214"/>
      <c r="R110" s="289"/>
      <c r="S110" s="289"/>
      <c r="T110" s="215"/>
      <c r="U110" s="215"/>
      <c r="V110" s="215"/>
      <c r="W110" s="215"/>
      <c r="X110" s="290"/>
      <c r="Y110" s="291"/>
      <c r="Z110" s="216"/>
      <c r="AA110" s="378" t="s">
        <v>1935</v>
      </c>
      <c r="AB110" s="379"/>
      <c r="AC110" s="376" t="s">
        <v>1674</v>
      </c>
      <c r="AD110" s="376" t="s">
        <v>1674</v>
      </c>
      <c r="AE110" s="347"/>
      <c r="AF110" s="1"/>
      <c r="AG110" s="1"/>
      <c r="AH110" s="1"/>
      <c r="AI110" s="1"/>
    </row>
    <row r="111" spans="1:35" ht="39" customHeight="1">
      <c r="A111" s="1"/>
      <c r="B111" s="1"/>
      <c r="C111" s="294">
        <v>40</v>
      </c>
      <c r="D111" s="214"/>
      <c r="E111" s="214"/>
      <c r="F111" s="214"/>
      <c r="G111" s="214"/>
      <c r="H111" s="214"/>
      <c r="I111" s="214"/>
      <c r="J111" s="214"/>
      <c r="K111" s="214"/>
      <c r="L111" s="214"/>
      <c r="M111" s="214"/>
      <c r="N111" s="214"/>
      <c r="O111" s="214"/>
      <c r="P111" s="214"/>
      <c r="Q111" s="214"/>
      <c r="R111" s="289"/>
      <c r="S111" s="289"/>
      <c r="T111" s="215"/>
      <c r="U111" s="215"/>
      <c r="V111" s="215"/>
      <c r="W111" s="215"/>
      <c r="X111" s="290"/>
      <c r="Y111" s="291"/>
      <c r="Z111" s="216"/>
      <c r="AA111" s="378" t="s">
        <v>1935</v>
      </c>
      <c r="AB111" s="379"/>
      <c r="AC111" s="376" t="s">
        <v>1674</v>
      </c>
      <c r="AD111" s="376" t="s">
        <v>1674</v>
      </c>
      <c r="AE111" s="347"/>
      <c r="AF111" s="1"/>
      <c r="AG111" s="1"/>
      <c r="AH111" s="1"/>
      <c r="AI111" s="1"/>
    </row>
    <row r="112" spans="1:35" ht="39" customHeight="1">
      <c r="A112" s="1"/>
      <c r="B112" s="1"/>
      <c r="C112" s="294">
        <v>41</v>
      </c>
      <c r="D112" s="214"/>
      <c r="E112" s="214"/>
      <c r="F112" s="214"/>
      <c r="G112" s="214"/>
      <c r="H112" s="214"/>
      <c r="I112" s="214"/>
      <c r="J112" s="214"/>
      <c r="K112" s="214"/>
      <c r="L112" s="214"/>
      <c r="M112" s="214"/>
      <c r="N112" s="214"/>
      <c r="O112" s="214"/>
      <c r="P112" s="214"/>
      <c r="Q112" s="214"/>
      <c r="R112" s="289"/>
      <c r="S112" s="289"/>
      <c r="T112" s="215"/>
      <c r="U112" s="215"/>
      <c r="V112" s="215"/>
      <c r="W112" s="215"/>
      <c r="X112" s="290"/>
      <c r="Y112" s="291"/>
      <c r="Z112" s="216"/>
      <c r="AA112" s="378" t="s">
        <v>1935</v>
      </c>
      <c r="AB112" s="379"/>
      <c r="AC112" s="376" t="s">
        <v>1674</v>
      </c>
      <c r="AD112" s="376" t="s">
        <v>1674</v>
      </c>
      <c r="AE112" s="347"/>
      <c r="AF112" s="1"/>
      <c r="AG112" s="1"/>
      <c r="AH112" s="1"/>
      <c r="AI112" s="1"/>
    </row>
    <row r="113" spans="1:35" ht="39" customHeight="1">
      <c r="A113" s="1"/>
      <c r="B113" s="1"/>
      <c r="C113" s="294">
        <v>42</v>
      </c>
      <c r="D113" s="214"/>
      <c r="E113" s="214"/>
      <c r="F113" s="214"/>
      <c r="G113" s="214"/>
      <c r="H113" s="214"/>
      <c r="I113" s="214"/>
      <c r="J113" s="214"/>
      <c r="K113" s="214"/>
      <c r="L113" s="214"/>
      <c r="M113" s="214"/>
      <c r="N113" s="214"/>
      <c r="O113" s="214"/>
      <c r="P113" s="214"/>
      <c r="Q113" s="214"/>
      <c r="R113" s="289"/>
      <c r="S113" s="289"/>
      <c r="T113" s="215"/>
      <c r="U113" s="215"/>
      <c r="V113" s="215"/>
      <c r="W113" s="215"/>
      <c r="X113" s="290"/>
      <c r="Y113" s="291"/>
      <c r="Z113" s="216"/>
      <c r="AA113" s="378" t="s">
        <v>1935</v>
      </c>
      <c r="AB113" s="379"/>
      <c r="AC113" s="376" t="s">
        <v>1674</v>
      </c>
      <c r="AD113" s="376" t="s">
        <v>1674</v>
      </c>
      <c r="AE113" s="347"/>
      <c r="AF113" s="1"/>
      <c r="AG113" s="1"/>
      <c r="AH113" s="1"/>
      <c r="AI113" s="1"/>
    </row>
    <row r="114" spans="1:35" ht="39" customHeight="1">
      <c r="A114" s="1"/>
      <c r="B114" s="1"/>
      <c r="C114" s="294">
        <v>43</v>
      </c>
      <c r="D114" s="214"/>
      <c r="E114" s="214"/>
      <c r="F114" s="214"/>
      <c r="G114" s="214"/>
      <c r="H114" s="214"/>
      <c r="I114" s="214"/>
      <c r="J114" s="214"/>
      <c r="K114" s="214"/>
      <c r="L114" s="214"/>
      <c r="M114" s="214"/>
      <c r="N114" s="214"/>
      <c r="O114" s="214"/>
      <c r="P114" s="214"/>
      <c r="Q114" s="214"/>
      <c r="R114" s="289"/>
      <c r="S114" s="289"/>
      <c r="T114" s="215"/>
      <c r="U114" s="215"/>
      <c r="V114" s="215"/>
      <c r="W114" s="215"/>
      <c r="X114" s="290"/>
      <c r="Y114" s="291"/>
      <c r="Z114" s="216"/>
      <c r="AA114" s="378" t="s">
        <v>1935</v>
      </c>
      <c r="AB114" s="379"/>
      <c r="AC114" s="376" t="s">
        <v>1674</v>
      </c>
      <c r="AD114" s="376" t="s">
        <v>1674</v>
      </c>
      <c r="AE114" s="347"/>
      <c r="AF114" s="1"/>
      <c r="AG114" s="1"/>
      <c r="AH114" s="1"/>
      <c r="AI114" s="1"/>
    </row>
    <row r="115" spans="1:35" ht="39" customHeight="1">
      <c r="A115" s="1"/>
      <c r="B115" s="1"/>
      <c r="C115" s="294">
        <v>44</v>
      </c>
      <c r="D115" s="214"/>
      <c r="E115" s="214"/>
      <c r="F115" s="214"/>
      <c r="G115" s="214"/>
      <c r="H115" s="214"/>
      <c r="I115" s="214"/>
      <c r="J115" s="214"/>
      <c r="K115" s="214"/>
      <c r="L115" s="214"/>
      <c r="M115" s="214"/>
      <c r="N115" s="214"/>
      <c r="O115" s="214"/>
      <c r="P115" s="214"/>
      <c r="Q115" s="214"/>
      <c r="R115" s="289"/>
      <c r="S115" s="289"/>
      <c r="T115" s="215"/>
      <c r="U115" s="215"/>
      <c r="V115" s="215"/>
      <c r="W115" s="215"/>
      <c r="X115" s="290"/>
      <c r="Y115" s="291"/>
      <c r="Z115" s="216"/>
      <c r="AA115" s="378" t="s">
        <v>1935</v>
      </c>
      <c r="AB115" s="379"/>
      <c r="AC115" s="376" t="s">
        <v>1674</v>
      </c>
      <c r="AD115" s="376" t="s">
        <v>1674</v>
      </c>
      <c r="AE115" s="347"/>
      <c r="AF115" s="1"/>
      <c r="AG115" s="1"/>
      <c r="AH115" s="1"/>
      <c r="AI115" s="1"/>
    </row>
    <row r="116" spans="1:35" ht="39" customHeight="1">
      <c r="A116" s="1"/>
      <c r="B116" s="1"/>
      <c r="C116" s="294">
        <v>45</v>
      </c>
      <c r="D116" s="214"/>
      <c r="E116" s="214"/>
      <c r="F116" s="214"/>
      <c r="G116" s="214"/>
      <c r="H116" s="214"/>
      <c r="I116" s="214"/>
      <c r="J116" s="214"/>
      <c r="K116" s="214"/>
      <c r="L116" s="214"/>
      <c r="M116" s="214"/>
      <c r="N116" s="214"/>
      <c r="O116" s="214"/>
      <c r="P116" s="214"/>
      <c r="Q116" s="214"/>
      <c r="R116" s="289"/>
      <c r="S116" s="289"/>
      <c r="T116" s="215"/>
      <c r="U116" s="215"/>
      <c r="V116" s="215"/>
      <c r="W116" s="215"/>
      <c r="X116" s="290"/>
      <c r="Y116" s="291"/>
      <c r="Z116" s="216"/>
      <c r="AA116" s="378" t="s">
        <v>1935</v>
      </c>
      <c r="AB116" s="379"/>
      <c r="AC116" s="376" t="s">
        <v>1674</v>
      </c>
      <c r="AD116" s="376" t="s">
        <v>1674</v>
      </c>
      <c r="AE116" s="347"/>
      <c r="AF116" s="1"/>
      <c r="AG116" s="1"/>
      <c r="AH116" s="1"/>
      <c r="AI116" s="1"/>
    </row>
    <row r="117" spans="1:35" ht="39" customHeight="1">
      <c r="A117" s="1"/>
      <c r="B117" s="1"/>
      <c r="C117" s="294">
        <v>46</v>
      </c>
      <c r="D117" s="214"/>
      <c r="E117" s="214"/>
      <c r="F117" s="214"/>
      <c r="G117" s="214"/>
      <c r="H117" s="214"/>
      <c r="I117" s="214"/>
      <c r="J117" s="214"/>
      <c r="K117" s="214"/>
      <c r="L117" s="214"/>
      <c r="M117" s="214"/>
      <c r="N117" s="214"/>
      <c r="O117" s="214"/>
      <c r="P117" s="214"/>
      <c r="Q117" s="214"/>
      <c r="R117" s="289"/>
      <c r="S117" s="289"/>
      <c r="T117" s="215"/>
      <c r="U117" s="215"/>
      <c r="V117" s="215"/>
      <c r="W117" s="215"/>
      <c r="X117" s="290"/>
      <c r="Y117" s="291"/>
      <c r="Z117" s="216"/>
      <c r="AA117" s="378" t="s">
        <v>1935</v>
      </c>
      <c r="AB117" s="379"/>
      <c r="AC117" s="376" t="s">
        <v>1674</v>
      </c>
      <c r="AD117" s="376" t="s">
        <v>1674</v>
      </c>
      <c r="AE117" s="347"/>
      <c r="AF117" s="1"/>
      <c r="AG117" s="1"/>
      <c r="AH117" s="1"/>
      <c r="AI117" s="1"/>
    </row>
    <row r="118" spans="1:35" ht="39" customHeight="1">
      <c r="A118" s="1"/>
      <c r="B118" s="1"/>
      <c r="C118" s="294">
        <v>47</v>
      </c>
      <c r="D118" s="214"/>
      <c r="E118" s="214"/>
      <c r="F118" s="214"/>
      <c r="G118" s="214"/>
      <c r="H118" s="214"/>
      <c r="I118" s="214"/>
      <c r="J118" s="214"/>
      <c r="K118" s="214"/>
      <c r="L118" s="214"/>
      <c r="M118" s="214"/>
      <c r="N118" s="214"/>
      <c r="O118" s="214"/>
      <c r="P118" s="214"/>
      <c r="Q118" s="214"/>
      <c r="R118" s="289"/>
      <c r="S118" s="289"/>
      <c r="T118" s="215"/>
      <c r="U118" s="215"/>
      <c r="V118" s="215"/>
      <c r="W118" s="215"/>
      <c r="X118" s="290"/>
      <c r="Y118" s="291"/>
      <c r="Z118" s="216"/>
      <c r="AA118" s="378" t="s">
        <v>1935</v>
      </c>
      <c r="AB118" s="379"/>
      <c r="AC118" s="376" t="s">
        <v>1674</v>
      </c>
      <c r="AD118" s="376" t="s">
        <v>1674</v>
      </c>
      <c r="AE118" s="347"/>
      <c r="AF118" s="1"/>
      <c r="AG118" s="1"/>
      <c r="AH118" s="1"/>
      <c r="AI118" s="1"/>
    </row>
    <row r="119" spans="1:35" ht="39" customHeight="1">
      <c r="A119" s="1"/>
      <c r="B119" s="1"/>
      <c r="C119" s="294">
        <v>48</v>
      </c>
      <c r="D119" s="214"/>
      <c r="E119" s="214"/>
      <c r="F119" s="214"/>
      <c r="G119" s="214"/>
      <c r="H119" s="214"/>
      <c r="I119" s="214"/>
      <c r="J119" s="214"/>
      <c r="K119" s="214"/>
      <c r="L119" s="214"/>
      <c r="M119" s="214"/>
      <c r="N119" s="214"/>
      <c r="O119" s="214"/>
      <c r="P119" s="214"/>
      <c r="Q119" s="214"/>
      <c r="R119" s="289"/>
      <c r="S119" s="289"/>
      <c r="T119" s="215"/>
      <c r="U119" s="215"/>
      <c r="V119" s="215"/>
      <c r="W119" s="215"/>
      <c r="X119" s="290"/>
      <c r="Y119" s="291"/>
      <c r="Z119" s="216"/>
      <c r="AA119" s="378" t="s">
        <v>1935</v>
      </c>
      <c r="AB119" s="379"/>
      <c r="AC119" s="376" t="s">
        <v>1674</v>
      </c>
      <c r="AD119" s="376" t="s">
        <v>1674</v>
      </c>
      <c r="AE119" s="347"/>
      <c r="AF119" s="1"/>
      <c r="AG119" s="1"/>
      <c r="AH119" s="1"/>
      <c r="AI119" s="1"/>
    </row>
    <row r="120" spans="1:35" ht="39" customHeight="1">
      <c r="A120" s="1"/>
      <c r="B120" s="1"/>
      <c r="C120" s="294">
        <v>49</v>
      </c>
      <c r="D120" s="214"/>
      <c r="E120" s="214"/>
      <c r="F120" s="214"/>
      <c r="G120" s="214"/>
      <c r="H120" s="214"/>
      <c r="I120" s="214"/>
      <c r="J120" s="214"/>
      <c r="K120" s="214"/>
      <c r="L120" s="214"/>
      <c r="M120" s="214"/>
      <c r="N120" s="214"/>
      <c r="O120" s="214"/>
      <c r="P120" s="214"/>
      <c r="Q120" s="214"/>
      <c r="R120" s="289"/>
      <c r="S120" s="289"/>
      <c r="T120" s="215"/>
      <c r="U120" s="215"/>
      <c r="V120" s="215"/>
      <c r="W120" s="215"/>
      <c r="X120" s="290"/>
      <c r="Y120" s="291"/>
      <c r="Z120" s="216"/>
      <c r="AA120" s="378" t="s">
        <v>1935</v>
      </c>
      <c r="AB120" s="379"/>
      <c r="AC120" s="376" t="s">
        <v>1674</v>
      </c>
      <c r="AD120" s="376" t="s">
        <v>1674</v>
      </c>
      <c r="AE120" s="347"/>
      <c r="AF120" s="1"/>
      <c r="AG120" s="1"/>
      <c r="AH120" s="1"/>
      <c r="AI120" s="1"/>
    </row>
    <row r="121" spans="1:35" ht="39" customHeight="1">
      <c r="A121" s="1"/>
      <c r="B121" s="1"/>
      <c r="C121" s="294">
        <v>50</v>
      </c>
      <c r="D121" s="214"/>
      <c r="E121" s="214"/>
      <c r="F121" s="214"/>
      <c r="G121" s="214"/>
      <c r="H121" s="214"/>
      <c r="I121" s="214"/>
      <c r="J121" s="214"/>
      <c r="K121" s="214"/>
      <c r="L121" s="214"/>
      <c r="M121" s="214"/>
      <c r="N121" s="214"/>
      <c r="O121" s="214"/>
      <c r="P121" s="214"/>
      <c r="Q121" s="214"/>
      <c r="R121" s="289"/>
      <c r="S121" s="289"/>
      <c r="T121" s="215"/>
      <c r="U121" s="215"/>
      <c r="V121" s="215"/>
      <c r="W121" s="215"/>
      <c r="X121" s="290"/>
      <c r="Y121" s="291"/>
      <c r="Z121" s="216"/>
      <c r="AA121" s="378" t="s">
        <v>1935</v>
      </c>
      <c r="AB121" s="379"/>
      <c r="AC121" s="376" t="s">
        <v>1674</v>
      </c>
      <c r="AD121" s="376" t="s">
        <v>1674</v>
      </c>
      <c r="AE121" s="347"/>
      <c r="AF121" s="1"/>
      <c r="AG121" s="1"/>
      <c r="AH121" s="1"/>
      <c r="AI121" s="1"/>
    </row>
    <row r="122" spans="1:35" ht="39" customHeight="1">
      <c r="A122" s="1"/>
      <c r="B122" s="1"/>
      <c r="C122" s="294">
        <v>51</v>
      </c>
      <c r="D122" s="214"/>
      <c r="E122" s="214"/>
      <c r="F122" s="214"/>
      <c r="G122" s="214"/>
      <c r="H122" s="214"/>
      <c r="I122" s="214"/>
      <c r="J122" s="214"/>
      <c r="K122" s="214"/>
      <c r="L122" s="214"/>
      <c r="M122" s="214"/>
      <c r="N122" s="214"/>
      <c r="O122" s="214"/>
      <c r="P122" s="214"/>
      <c r="Q122" s="214"/>
      <c r="R122" s="289"/>
      <c r="S122" s="289"/>
      <c r="T122" s="215"/>
      <c r="U122" s="215"/>
      <c r="V122" s="215"/>
      <c r="W122" s="215"/>
      <c r="X122" s="290"/>
      <c r="Y122" s="291"/>
      <c r="Z122" s="216"/>
      <c r="AA122" s="378" t="s">
        <v>1935</v>
      </c>
      <c r="AB122" s="379"/>
      <c r="AC122" s="376" t="s">
        <v>1674</v>
      </c>
      <c r="AD122" s="376" t="s">
        <v>1674</v>
      </c>
      <c r="AE122" s="347"/>
      <c r="AF122" s="1"/>
      <c r="AG122" s="1"/>
      <c r="AH122" s="1"/>
      <c r="AI122" s="1"/>
    </row>
    <row r="123" spans="1:35" ht="39" customHeight="1">
      <c r="A123" s="1"/>
      <c r="B123" s="1"/>
      <c r="C123" s="294">
        <v>52</v>
      </c>
      <c r="D123" s="214"/>
      <c r="E123" s="214"/>
      <c r="F123" s="214"/>
      <c r="G123" s="214"/>
      <c r="H123" s="214"/>
      <c r="I123" s="214"/>
      <c r="J123" s="214"/>
      <c r="K123" s="214"/>
      <c r="L123" s="214"/>
      <c r="M123" s="214"/>
      <c r="N123" s="214"/>
      <c r="O123" s="214"/>
      <c r="P123" s="214"/>
      <c r="Q123" s="214"/>
      <c r="R123" s="289"/>
      <c r="S123" s="289"/>
      <c r="T123" s="215"/>
      <c r="U123" s="215"/>
      <c r="V123" s="215"/>
      <c r="W123" s="215"/>
      <c r="X123" s="290"/>
      <c r="Y123" s="291"/>
      <c r="Z123" s="216"/>
      <c r="AA123" s="378" t="s">
        <v>1935</v>
      </c>
      <c r="AB123" s="379"/>
      <c r="AC123" s="376" t="s">
        <v>1674</v>
      </c>
      <c r="AD123" s="376" t="s">
        <v>1674</v>
      </c>
      <c r="AE123" s="347"/>
      <c r="AF123" s="1"/>
      <c r="AG123" s="1"/>
      <c r="AH123" s="1"/>
      <c r="AI123" s="1"/>
    </row>
    <row r="124" spans="1:35" ht="39" customHeight="1">
      <c r="A124" s="1"/>
      <c r="B124" s="1"/>
      <c r="C124" s="294">
        <v>53</v>
      </c>
      <c r="D124" s="214"/>
      <c r="E124" s="214"/>
      <c r="F124" s="214"/>
      <c r="G124" s="214"/>
      <c r="H124" s="214"/>
      <c r="I124" s="214"/>
      <c r="J124" s="214"/>
      <c r="K124" s="214"/>
      <c r="L124" s="214"/>
      <c r="M124" s="214"/>
      <c r="N124" s="214"/>
      <c r="O124" s="214"/>
      <c r="P124" s="214"/>
      <c r="Q124" s="214"/>
      <c r="R124" s="289"/>
      <c r="S124" s="289"/>
      <c r="T124" s="215"/>
      <c r="U124" s="215"/>
      <c r="V124" s="215"/>
      <c r="W124" s="215"/>
      <c r="X124" s="290"/>
      <c r="Y124" s="291"/>
      <c r="Z124" s="216"/>
      <c r="AA124" s="378" t="s">
        <v>1935</v>
      </c>
      <c r="AB124" s="379"/>
      <c r="AC124" s="376" t="s">
        <v>1674</v>
      </c>
      <c r="AD124" s="376" t="s">
        <v>1674</v>
      </c>
      <c r="AE124" s="347"/>
      <c r="AF124" s="1"/>
      <c r="AG124" s="1"/>
      <c r="AH124" s="1"/>
      <c r="AI124" s="1"/>
    </row>
    <row r="125" spans="1:35" ht="39" customHeight="1">
      <c r="A125" s="1"/>
      <c r="B125" s="1"/>
      <c r="C125" s="294">
        <v>54</v>
      </c>
      <c r="D125" s="214"/>
      <c r="E125" s="214"/>
      <c r="F125" s="214"/>
      <c r="G125" s="214"/>
      <c r="H125" s="214"/>
      <c r="I125" s="214"/>
      <c r="J125" s="214"/>
      <c r="K125" s="214"/>
      <c r="L125" s="214"/>
      <c r="M125" s="214"/>
      <c r="N125" s="214"/>
      <c r="O125" s="214"/>
      <c r="P125" s="214"/>
      <c r="Q125" s="214"/>
      <c r="R125" s="289"/>
      <c r="S125" s="289"/>
      <c r="T125" s="215"/>
      <c r="U125" s="215"/>
      <c r="V125" s="215"/>
      <c r="W125" s="215"/>
      <c r="X125" s="290"/>
      <c r="Y125" s="291"/>
      <c r="Z125" s="216"/>
      <c r="AA125" s="378" t="s">
        <v>1935</v>
      </c>
      <c r="AB125" s="379"/>
      <c r="AC125" s="376" t="s">
        <v>1674</v>
      </c>
      <c r="AD125" s="376" t="s">
        <v>1674</v>
      </c>
      <c r="AE125" s="347"/>
      <c r="AF125" s="1"/>
      <c r="AG125" s="1"/>
      <c r="AH125" s="1"/>
      <c r="AI125" s="1"/>
    </row>
    <row r="126" spans="1:35" ht="39" customHeight="1">
      <c r="A126" s="1"/>
      <c r="B126" s="1"/>
      <c r="C126" s="294">
        <v>55</v>
      </c>
      <c r="D126" s="214"/>
      <c r="E126" s="214"/>
      <c r="F126" s="214"/>
      <c r="G126" s="214"/>
      <c r="H126" s="214"/>
      <c r="I126" s="214"/>
      <c r="J126" s="214"/>
      <c r="K126" s="214"/>
      <c r="L126" s="214"/>
      <c r="M126" s="214"/>
      <c r="N126" s="214"/>
      <c r="O126" s="214"/>
      <c r="P126" s="214"/>
      <c r="Q126" s="214"/>
      <c r="R126" s="289"/>
      <c r="S126" s="289"/>
      <c r="T126" s="215"/>
      <c r="U126" s="215"/>
      <c r="V126" s="215"/>
      <c r="W126" s="215"/>
      <c r="X126" s="290"/>
      <c r="Y126" s="291"/>
      <c r="Z126" s="216"/>
      <c r="AA126" s="378" t="s">
        <v>1935</v>
      </c>
      <c r="AB126" s="379"/>
      <c r="AC126" s="376" t="s">
        <v>1674</v>
      </c>
      <c r="AD126" s="376" t="s">
        <v>1674</v>
      </c>
      <c r="AE126" s="347"/>
      <c r="AF126" s="1"/>
      <c r="AG126" s="1"/>
      <c r="AH126" s="1"/>
      <c r="AI126" s="1"/>
    </row>
    <row r="127" spans="1:35" ht="39" customHeight="1">
      <c r="A127" s="1"/>
      <c r="B127" s="1"/>
      <c r="C127" s="294">
        <v>56</v>
      </c>
      <c r="D127" s="214"/>
      <c r="E127" s="214"/>
      <c r="F127" s="214"/>
      <c r="G127" s="214"/>
      <c r="H127" s="214"/>
      <c r="I127" s="214"/>
      <c r="J127" s="214"/>
      <c r="K127" s="214"/>
      <c r="L127" s="214"/>
      <c r="M127" s="214"/>
      <c r="N127" s="214"/>
      <c r="O127" s="214"/>
      <c r="P127" s="214"/>
      <c r="Q127" s="214"/>
      <c r="R127" s="289"/>
      <c r="S127" s="289"/>
      <c r="T127" s="215"/>
      <c r="U127" s="215"/>
      <c r="V127" s="215"/>
      <c r="W127" s="215"/>
      <c r="X127" s="290"/>
      <c r="Y127" s="291"/>
      <c r="Z127" s="216"/>
      <c r="AA127" s="378" t="s">
        <v>1935</v>
      </c>
      <c r="AB127" s="379"/>
      <c r="AC127" s="376" t="s">
        <v>1674</v>
      </c>
      <c r="AD127" s="376" t="s">
        <v>1674</v>
      </c>
      <c r="AE127" s="347"/>
      <c r="AF127" s="1"/>
      <c r="AG127" s="1"/>
      <c r="AH127" s="1"/>
      <c r="AI127" s="1"/>
    </row>
    <row r="128" spans="1:35" ht="39" customHeight="1">
      <c r="A128" s="1"/>
      <c r="B128" s="1"/>
      <c r="C128" s="294">
        <v>57</v>
      </c>
      <c r="D128" s="214"/>
      <c r="E128" s="214"/>
      <c r="F128" s="214"/>
      <c r="G128" s="214"/>
      <c r="H128" s="214"/>
      <c r="I128" s="214"/>
      <c r="J128" s="214"/>
      <c r="K128" s="214"/>
      <c r="L128" s="214"/>
      <c r="M128" s="214"/>
      <c r="N128" s="214"/>
      <c r="O128" s="214"/>
      <c r="P128" s="214"/>
      <c r="Q128" s="214"/>
      <c r="R128" s="289"/>
      <c r="S128" s="289"/>
      <c r="T128" s="215"/>
      <c r="U128" s="215"/>
      <c r="V128" s="215"/>
      <c r="W128" s="215"/>
      <c r="X128" s="290"/>
      <c r="Y128" s="291"/>
      <c r="Z128" s="216"/>
      <c r="AA128" s="378" t="s">
        <v>1935</v>
      </c>
      <c r="AB128" s="379"/>
      <c r="AC128" s="376" t="s">
        <v>1674</v>
      </c>
      <c r="AD128" s="376" t="s">
        <v>1674</v>
      </c>
      <c r="AE128" s="347"/>
      <c r="AF128" s="1"/>
      <c r="AG128" s="1"/>
      <c r="AH128" s="1"/>
      <c r="AI128" s="1"/>
    </row>
    <row r="129" spans="1:35" ht="39" customHeight="1">
      <c r="A129" s="1"/>
      <c r="B129" s="1"/>
      <c r="C129" s="294">
        <v>58</v>
      </c>
      <c r="D129" s="214"/>
      <c r="E129" s="214"/>
      <c r="F129" s="214"/>
      <c r="G129" s="214"/>
      <c r="H129" s="214"/>
      <c r="I129" s="214"/>
      <c r="J129" s="214"/>
      <c r="K129" s="214"/>
      <c r="L129" s="214"/>
      <c r="M129" s="214"/>
      <c r="N129" s="214"/>
      <c r="O129" s="214"/>
      <c r="P129" s="214"/>
      <c r="Q129" s="214"/>
      <c r="R129" s="289"/>
      <c r="S129" s="289"/>
      <c r="T129" s="215"/>
      <c r="U129" s="215"/>
      <c r="V129" s="215"/>
      <c r="W129" s="215"/>
      <c r="X129" s="290"/>
      <c r="Y129" s="291"/>
      <c r="Z129" s="216"/>
      <c r="AA129" s="378" t="s">
        <v>1935</v>
      </c>
      <c r="AB129" s="379"/>
      <c r="AC129" s="376" t="s">
        <v>1674</v>
      </c>
      <c r="AD129" s="376" t="s">
        <v>1674</v>
      </c>
      <c r="AE129" s="347"/>
      <c r="AF129" s="1"/>
      <c r="AG129" s="1"/>
      <c r="AH129" s="1"/>
      <c r="AI129" s="1"/>
    </row>
    <row r="130" spans="1:35" ht="39" customHeight="1">
      <c r="A130" s="1"/>
      <c r="B130" s="1"/>
      <c r="C130" s="294">
        <v>59</v>
      </c>
      <c r="D130" s="214"/>
      <c r="E130" s="214"/>
      <c r="F130" s="214"/>
      <c r="G130" s="214"/>
      <c r="H130" s="214"/>
      <c r="I130" s="214"/>
      <c r="J130" s="214"/>
      <c r="K130" s="214"/>
      <c r="L130" s="214"/>
      <c r="M130" s="214"/>
      <c r="N130" s="214"/>
      <c r="O130" s="214"/>
      <c r="P130" s="214"/>
      <c r="Q130" s="214"/>
      <c r="R130" s="289"/>
      <c r="S130" s="289"/>
      <c r="T130" s="215"/>
      <c r="U130" s="215"/>
      <c r="V130" s="215"/>
      <c r="W130" s="215"/>
      <c r="X130" s="290"/>
      <c r="Y130" s="291"/>
      <c r="Z130" s="216"/>
      <c r="AA130" s="378" t="s">
        <v>1935</v>
      </c>
      <c r="AB130" s="379"/>
      <c r="AC130" s="376" t="s">
        <v>1674</v>
      </c>
      <c r="AD130" s="376" t="s">
        <v>1674</v>
      </c>
      <c r="AE130" s="347"/>
      <c r="AF130" s="1"/>
      <c r="AG130" s="1"/>
      <c r="AH130" s="1"/>
      <c r="AI130" s="1"/>
    </row>
    <row r="131" spans="1:35" ht="39" customHeight="1">
      <c r="A131" s="1"/>
      <c r="B131" s="1"/>
      <c r="C131" s="294">
        <v>60</v>
      </c>
      <c r="D131" s="214"/>
      <c r="E131" s="214"/>
      <c r="F131" s="214"/>
      <c r="G131" s="214"/>
      <c r="H131" s="214"/>
      <c r="I131" s="214"/>
      <c r="J131" s="214"/>
      <c r="K131" s="214"/>
      <c r="L131" s="214"/>
      <c r="M131" s="214"/>
      <c r="N131" s="214"/>
      <c r="O131" s="214"/>
      <c r="P131" s="214"/>
      <c r="Q131" s="214"/>
      <c r="R131" s="289"/>
      <c r="S131" s="289"/>
      <c r="T131" s="215"/>
      <c r="U131" s="215"/>
      <c r="V131" s="215"/>
      <c r="W131" s="215"/>
      <c r="X131" s="290"/>
      <c r="Y131" s="291"/>
      <c r="Z131" s="216"/>
      <c r="AA131" s="378" t="s">
        <v>1935</v>
      </c>
      <c r="AB131" s="379"/>
      <c r="AC131" s="376" t="s">
        <v>1674</v>
      </c>
      <c r="AD131" s="376" t="s">
        <v>1674</v>
      </c>
      <c r="AE131" s="347"/>
      <c r="AF131" s="1"/>
      <c r="AG131" s="1"/>
      <c r="AH131" s="1"/>
      <c r="AI131" s="1"/>
    </row>
    <row r="132" spans="1: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sheetData>
  <mergeCells count="107">
    <mergeCell ref="AC69:AE70"/>
    <mergeCell ref="X17:Y18"/>
    <mergeCell ref="C68:AE68"/>
    <mergeCell ref="S57:W57"/>
    <mergeCell ref="S58:W58"/>
    <mergeCell ref="S59:W59"/>
    <mergeCell ref="S48:W48"/>
    <mergeCell ref="S49:W49"/>
    <mergeCell ref="S50:W50"/>
    <mergeCell ref="S51:W51"/>
    <mergeCell ref="S52:W52"/>
    <mergeCell ref="S53:W53"/>
    <mergeCell ref="S54:W54"/>
    <mergeCell ref="S55:W55"/>
    <mergeCell ref="S56:W56"/>
    <mergeCell ref="S24:W24"/>
    <mergeCell ref="S25:W25"/>
    <mergeCell ref="S26:W26"/>
    <mergeCell ref="S27:W27"/>
    <mergeCell ref="S28:W28"/>
    <mergeCell ref="S29:W29"/>
    <mergeCell ref="Q40:R40"/>
    <mergeCell ref="Q39:R39"/>
    <mergeCell ref="Q49:R49"/>
    <mergeCell ref="C70:C71"/>
    <mergeCell ref="E70:H70"/>
    <mergeCell ref="S33:W33"/>
    <mergeCell ref="Q35:R35"/>
    <mergeCell ref="Q34:R34"/>
    <mergeCell ref="Q33:R33"/>
    <mergeCell ref="S39:W39"/>
    <mergeCell ref="S40:W40"/>
    <mergeCell ref="S41:W41"/>
    <mergeCell ref="S42:W42"/>
    <mergeCell ref="S43:W43"/>
    <mergeCell ref="S44:W44"/>
    <mergeCell ref="S45:W45"/>
    <mergeCell ref="Q41:R41"/>
    <mergeCell ref="T69:W69"/>
    <mergeCell ref="Q42:R42"/>
    <mergeCell ref="Q43:R43"/>
    <mergeCell ref="Q44:R44"/>
    <mergeCell ref="Q45:R45"/>
    <mergeCell ref="Q46:R46"/>
    <mergeCell ref="Q47:R47"/>
    <mergeCell ref="Q48:R48"/>
    <mergeCell ref="R69:S70"/>
    <mergeCell ref="Q59:R59"/>
    <mergeCell ref="C9:O9"/>
    <mergeCell ref="C12:E12"/>
    <mergeCell ref="Q26:R26"/>
    <mergeCell ref="Q25:R25"/>
    <mergeCell ref="Q24:R24"/>
    <mergeCell ref="P15:Q15"/>
    <mergeCell ref="D17:O17"/>
    <mergeCell ref="P17:R18"/>
    <mergeCell ref="S19:W19"/>
    <mergeCell ref="S20:W20"/>
    <mergeCell ref="S21:W21"/>
    <mergeCell ref="S22:W22"/>
    <mergeCell ref="S23:W23"/>
    <mergeCell ref="C18:C19"/>
    <mergeCell ref="E18:H18"/>
    <mergeCell ref="I18:O18"/>
    <mergeCell ref="Q20:R20"/>
    <mergeCell ref="Q19:R19"/>
    <mergeCell ref="Q21:R21"/>
    <mergeCell ref="Q22:R22"/>
    <mergeCell ref="Q23:R23"/>
    <mergeCell ref="C15:O15"/>
    <mergeCell ref="S17:W18"/>
    <mergeCell ref="C16:Y16"/>
    <mergeCell ref="Q28:R28"/>
    <mergeCell ref="Q27:R27"/>
    <mergeCell ref="Q38:R38"/>
    <mergeCell ref="Q37:R37"/>
    <mergeCell ref="S34:W34"/>
    <mergeCell ref="S35:W35"/>
    <mergeCell ref="S36:W36"/>
    <mergeCell ref="S37:W37"/>
    <mergeCell ref="S38:W38"/>
    <mergeCell ref="Q30:R30"/>
    <mergeCell ref="Q29:R29"/>
    <mergeCell ref="Q36:R36"/>
    <mergeCell ref="S30:W30"/>
    <mergeCell ref="S31:W31"/>
    <mergeCell ref="S32:W32"/>
    <mergeCell ref="Q32:R32"/>
    <mergeCell ref="Q31:R31"/>
    <mergeCell ref="S46:W46"/>
    <mergeCell ref="S47:W47"/>
    <mergeCell ref="AA69:AB70"/>
    <mergeCell ref="Q51:R51"/>
    <mergeCell ref="Q52:R52"/>
    <mergeCell ref="Q53:R53"/>
    <mergeCell ref="D69:Q69"/>
    <mergeCell ref="P70:Q70"/>
    <mergeCell ref="Q57:R57"/>
    <mergeCell ref="Q54:R54"/>
    <mergeCell ref="Q55:R55"/>
    <mergeCell ref="Q56:R56"/>
    <mergeCell ref="I70:O70"/>
    <mergeCell ref="Q58:R58"/>
    <mergeCell ref="T70:U70"/>
    <mergeCell ref="V70:W70"/>
    <mergeCell ref="X69:Z70"/>
    <mergeCell ref="Q50:R50"/>
  </mergeCells>
  <conditionalFormatting sqref="R72:R131">
    <cfRule type="containsText" dxfId="14" priority="21" operator="containsText" text="critique">
      <formula>NOT(ISERROR(SEARCH("critique",R72)))</formula>
    </cfRule>
    <cfRule type="containsText" dxfId="13" priority="25" operator="containsText" text="sûr">
      <formula>NOT(ISERROR(SEARCH("sûr",R72)))</formula>
    </cfRule>
  </conditionalFormatting>
  <conditionalFormatting sqref="R72:S131">
    <cfRule type="containsText" dxfId="12" priority="9" operator="containsText" text="acceptable">
      <formula>NOT(ISERROR(SEARCH("acceptable",R72)))</formula>
    </cfRule>
  </conditionalFormatting>
  <conditionalFormatting sqref="S72:S131">
    <cfRule type="containsText" dxfId="11" priority="8" operator="containsText" text="fluide">
      <formula>NOT(ISERROR(SEARCH("fluide",S72)))</formula>
    </cfRule>
    <cfRule type="containsText" dxfId="10" priority="10" operator="containsText" text="instable">
      <formula>NOT(ISERROR(SEARCH("instable",S72)))</formula>
    </cfRule>
  </conditionalFormatting>
  <conditionalFormatting sqref="X20:X59">
    <cfRule type="containsText" dxfId="9" priority="6" operator="containsText" text="non">
      <formula>NOT(ISERROR(SEARCH("non",X20)))</formula>
    </cfRule>
    <cfRule type="containsText" dxfId="8" priority="7" operator="containsText" text="oui">
      <formula>NOT(ISERROR(SEARCH("oui",X20)))</formula>
    </cfRule>
  </conditionalFormatting>
  <conditionalFormatting sqref="X72:X131">
    <cfRule type="containsText" dxfId="7" priority="17" operator="containsText" text="non">
      <formula>NOT(ISERROR(SEARCH("non",X72)))</formula>
    </cfRule>
    <cfRule type="cellIs" dxfId="6" priority="18" operator="equal">
      <formula>"oui"</formula>
    </cfRule>
  </conditionalFormatting>
  <conditionalFormatting sqref="Y72:Y131">
    <cfRule type="containsText" dxfId="5" priority="14" operator="containsText" text="élevé">
      <formula>NOT(ISERROR(SEARCH("élevé",Y72)))</formula>
    </cfRule>
    <cfRule type="containsText" dxfId="4" priority="15" operator="containsText" text="moyen">
      <formula>NOT(ISERROR(SEARCH("moyen",Y72)))</formula>
    </cfRule>
    <cfRule type="containsText" dxfId="3" priority="16" operator="containsText" text="faible">
      <formula>NOT(ISERROR(SEARCH("faible",Y72)))</formula>
    </cfRule>
  </conditionalFormatting>
  <conditionalFormatting sqref="AC72:AD131">
    <cfRule type="containsText" dxfId="2" priority="2" operator="containsText" text="non">
      <formula>NOT(ISERROR(SEARCH("non",AC72)))</formula>
    </cfRule>
    <cfRule type="containsText" dxfId="1" priority="3" operator="containsText" text="oui">
      <formula>NOT(ISERROR(SEARCH("oui",AC72)))</formula>
    </cfRule>
  </conditionalFormatting>
  <conditionalFormatting sqref="AD72:AD131">
    <cfRule type="containsText" dxfId="0" priority="1" operator="containsText" text="assortie de conditions">
      <formula>NOT(ISERROR(SEARCH("assortie de conditions",AD72)))</formula>
    </cfRule>
  </conditionalFormatting>
  <dataValidations count="3">
    <dataValidation type="list" allowBlank="1" showInputMessage="1" showErrorMessage="1" sqref="AC72:AC131 X20:Y59" xr:uid="{20353690-A928-4C76-9245-12946AECB53B}">
      <formula1>"oui,non"</formula1>
    </dataValidation>
    <dataValidation type="list" allowBlank="1" showInputMessage="1" showErrorMessage="1" sqref="AD72:AD131" xr:uid="{37886D2B-ECEE-47EF-A9EE-7D5EB49CC8DD}">
      <formula1>"oui,non,assortie de conditions"</formula1>
    </dataValidation>
    <dataValidation type="list" allowBlank="1" showInputMessage="1" showErrorMessage="1" sqref="AA72:AA131" xr:uid="{8381B519-A1AF-40D1-93EF-6D8D97B4E918}">
      <formula1>"avec indication précise,sans indication précise"</formula1>
    </dataValidation>
  </dataValidations>
  <pageMargins left="0.7" right="0.7" top="0.78740157499999996" bottom="0.78740157499999996"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E55EC89BC5E3A48BC835E9AAEBA8DBE" ma:contentTypeVersion="11" ma:contentTypeDescription="Ein neues Dokument erstellen." ma:contentTypeScope="" ma:versionID="4deaaa82d06727f6d7ddcc5620643c2c">
  <xsd:schema xmlns:xsd="http://www.w3.org/2001/XMLSchema" xmlns:xs="http://www.w3.org/2001/XMLSchema" xmlns:p="http://schemas.microsoft.com/office/2006/metadata/properties" xmlns:ns2="8edd9afa-d355-4e8b-91a4-e073ebeebe63" xmlns:ns3="fff532d3-b08c-4f31-ae20-cc54b5e4b586" targetNamespace="http://schemas.microsoft.com/office/2006/metadata/properties" ma:root="true" ma:fieldsID="017cb0ce17066bafe7f4420c3ed79e9d" ns2:_="" ns3:_="">
    <xsd:import namespace="8edd9afa-d355-4e8b-91a4-e073ebeebe63"/>
    <xsd:import namespace="fff532d3-b08c-4f31-ae20-cc54b5e4b5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d9afa-d355-4e8b-91a4-e073ebeeb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1b12924a-b9be-4e7e-81f0-735c63fe5eb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532d3-b08c-4f31-ae20-cc54b5e4b58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4c26b0-0ccf-47f1-bf00-10e7ae832ab8}" ma:internalName="TaxCatchAll" ma:showField="CatchAllData" ma:web="fff532d3-b08c-4f31-ae20-cc54b5e4b5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A 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2 g R L x 6 w A A A D 3 A A A A E g A A A E N v b m Z p Z y 9 Q Y W N r Y W d l L n h t b H q / e 7 + N f U V u j k J Z a l F x Z n 6 e r Z K h n o G S Q n F J Y l 5 K Y k 5 + X q q t U l 6 + k r 0 d L 5 d N Q G J y d m J 6 q g J Q d V 6 x V U V x i q 1 S R k l J g Z W + f n l 5 u V 6 5 s V 5 + U b q + k Y G B o X 6 E r 0 9 w c k Z q b q I S X H E m Y c W 6 m X k g a 5 N T l e x s w i C u s T P S M z Q x 0 j M y B T r K R h 8 m a O O b m Y d Q Y A S U A 8 k i C d o 4 l + a U l B a l 2 q W k 6 j p 7 2 O j D u D b 6 U D / Y A Q A A A P / / A w B Q S w M E F A A C A A g A A A A h A B f U g 0 U b A g A A v Q c A A B M A A A B G b 3 J t d W x h c y 9 T Z W N 0 a W 9 u M S 5 t 3 J T P b t p A E M b v S H m H l X s h k m t h U q K q l Q 8 E l x C R f 5 U N P c S V t T E D X r H e R b t j 2 g T l N f o E f Y a e e u P F u p Q K q N Y o q V R V V X y x 9 c 3 O z D f 2 z 6 M h Q y Y F i d Z 3 / 2 2 t p n O q Y E T 6 Q i K I t H 1 B A s I B D 2 r E X O 9 L 4 B y M 0 t F z L 5 R Z W Y D A e p d x 8 D p S m P O o 6 0 7 n T T L Q o H T S K x F B X b A s p 8 C T K w G h Y n M g L 8 l J d 5 C E o K c o Z 8 m m j 5 f p u X P o 3 o T A W c F M Y u C 4 j k s 6 k p e F 0 M F r l 7 w T m R w x M Q n 8 Z q v p G j M m M 8 I 7 D s H 2 0 b u U A j 4 e u m u / L 5 z e 8 l s O i k x A Y z l G I D 2 g I 1 C O G S G m t + b 4 t Z K F y V 3 L u r 4 e 0 C U 3 v / Q 2 5 1 F G O V U 6 Q F X u F j 6 F 5 V d h c o x R E t / N t h V j R Y U e S 1 W s n Z s Y 6 P p e I + 5 i 4 V w p 1 J x O w E y L 5 j R B + I w P L l k 4 M R Q z a d Q z g c e v v F W l n 3 J f A d P A U 9 8 O n U d t W 2 y L e 5 p z 0 l a F 1 S G C W T o E X t E k j I d p 3 5 b P w t + 1 h 8 O D G h P 7 X s o W p w g V Z N N / A d R O p 0 e Q 8 v 0 d p o 5 b j Y b / j K A q S z a y P v d e 0 j Q q a h R L 7 y 6 / 5 6 o U E y t w C j r L y W W J 9 z Y j y y 9 j M g Q 1 h d y O x U o i S q b s y A p D K i r d n Q A q B r e a o h U y m F Y 0 s f + b p 3 K 6 W U f p 0 d / i N J S f h B l t p D f E p n 7 a P P J a X r P R b C U 7 H R / j t f l 8 d + C H f v x 0 W v + n B b j S B t F 1 5 Z Z O u z S v I H 0 C s s J I l p c c / g j a H w A A A P / / A w B Q S w E C L Q A U A A Y A C A A A A C E A K t 2 q Q N I A A A A 3 A Q A A E w A A A A A A A A A A A A A A A A A A A A A A W 0 N v b n R l b n R f V H l w Z X N d L n h t b F B L A Q I t A B Q A A g A I A A A A I Q D a B E v H r A A A A P c A A A A S A A A A A A A A A A A A A A A A A A s D A A B D b 2 5 m a W c v U G F j a 2 F n Z S 5 4 b W x Q S w E C L Q A U A A I A C A A A A C E A F 9 S D R R s C A A C 9 B w A A E w A A A A A A A A A A A A A A A A D n A w A A R m 9 y b X V s Y X M v U 2 V j d G l v b j E u b V B L B Q Y A A A A A A w A D A M I A A A A z 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S Y A A A A A A A C f J 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t u b 3 R l b l 9 B T 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T N U M D U 6 M j A 6 M D k u M z c 2 N D c 1 O F o i L z 4 8 R W 5 0 c n k g V H l w Z T 0 i R m l s b E N v b H V t b l R 5 c G V z I i B W Y W x 1 Z T 0 i c 0 J n T U R B d 1 l E Q X d N P S I v P j x F b n R y e S B U e X B l P S J G a W x s Q 2 9 s d W 1 u T m F t Z X M i I F Z h b H V l P S J z W y Z x d W 9 0 O 0 9 y d H N s Y W d l J n F 1 b 3 Q 7 L C Z x d W 9 0 O 1 R l b X B v J n F 1 b 3 Q 7 L C Z x d W 9 0 O 0 t y Z W l z Z W x f M S Z x d W 9 0 O y w m c X V v d D t M U 0 E m c X V v d D s s J n F 1 b 3 Q 7 Q W 5 6 Y W h s I E F y b S Z x d W 9 0 O y w m c X V v d D t T Z X B f V m V s b y Z x d W 9 0 O y w m c X V v d D t E V F Z f S y Z x d W 9 0 O y w m c X V v d D t 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B k M T F k Z j A t M m N h M C 0 0 M T A 4 L T g 0 Z D Q t Z j c 2 N z k 2 Y T c 0 Y z Y x I i 8 + P E V u d H J 5 I F R 5 c G U 9 I l J l b G F 0 a W 9 u c 2 h p c E l u Z m 9 D b 2 5 0 Y W l u Z X I i I F Z h b H V l P S J z e y Z x d W 9 0 O 2 N v b H V t b k N v d W 5 0 J n F 1 b 3 Q 7 O j g s J n F 1 b 3 Q 7 a 2 V 5 Q 2 9 s d W 1 u T m F t Z X M m c X V v d D s 6 W 1 0 s J n F 1 b 3 Q 7 c X V l c n l S Z W x h d G l v b n N o a X B z J n F 1 b 3 Q 7 O l t d L C Z x d W 9 0 O 2 N v b H V t b k l k Z W 5 0 a X R p Z X M m c X V v d D s 6 W y Z x d W 9 0 O 1 N l Y 3 R p b 2 4 x L 0 t u b 3 R l b l 9 B T S 9 B d X R v U m V t b 3 Z l Z E N v b H V t b n M x L n t P c n R z b G F n Z S w w f S Z x d W 9 0 O y w m c X V v d D t T Z W N 0 a W 9 u M S 9 L b m 9 0 Z W 5 f Q U 0 v Q X V 0 b 1 J l b W 9 2 Z W R D b 2 x 1 b W 5 z M S 5 7 V G V t c G 8 s M X 0 m c X V v d D s s J n F 1 b 3 Q 7 U 2 V j d G l v b j E v S 2 5 v d G V u X 0 F N L 0 F 1 d G 9 S Z W 1 v d m V k Q 2 9 s d W 1 u c z E u e 0 t y Z W l z Z W x f M S w y f S Z x d W 9 0 O y w m c X V v d D t T Z W N 0 a W 9 u M S 9 L b m 9 0 Z W 5 f Q U 0 v Q X V 0 b 1 J l b W 9 2 Z W R D b 2 x 1 b W 5 z M S 5 7 T F N B L D N 9 J n F 1 b 3 Q 7 L C Z x d W 9 0 O 1 N l Y 3 R p b 2 4 x L 0 t u b 3 R l b l 9 B T S 9 B d X R v U m V t b 3 Z l Z E N v b H V t b n M x L n t B b n p h a G w g Q X J t L D R 9 J n F 1 b 3 Q 7 L C Z x d W 9 0 O 1 N l Y 3 R p b 2 4 x L 0 t u b 3 R l b l 9 B T S 9 B d X R v U m V t b 3 Z l Z E N v b H V t b n M x L n t T Z X B f V m V s b y w 1 f S Z x d W 9 0 O y w m c X V v d D t T Z W N 0 a W 9 u M S 9 L b m 9 0 Z W 5 f Q U 0 v Q X V 0 b 1 J l b W 9 2 Z W R D b 2 x 1 b W 5 z M S 5 7 R F R W X 0 s s N n 0 m c X V v d D s s J n F 1 b 3 Q 7 U 2 V j d G l v b j E v S 2 5 v d G V u X 0 F N L 0 F 1 d G 9 S Z W 1 v d m V k Q 2 9 s d W 1 u c z E u e 0 l E L D d 9 J n F 1 b 3 Q 7 X S w m c X V v d D t D b 2 x 1 b W 5 D b 3 V u d C Z x d W 9 0 O z o 4 L C Z x d W 9 0 O 0 t l e U N v b H V t b k 5 h b W V z J n F 1 b 3 Q 7 O l t d L C Z x d W 9 0 O 0 N v b H V t b k l k Z W 5 0 a X R p Z X M m c X V v d D s 6 W y Z x d W 9 0 O 1 N l Y 3 R p b 2 4 x L 0 t u b 3 R l b l 9 B T S 9 B d X R v U m V t b 3 Z l Z E N v b H V t b n M x L n t P c n R z b G F n Z S w w f S Z x d W 9 0 O y w m c X V v d D t T Z W N 0 a W 9 u M S 9 L b m 9 0 Z W 5 f Q U 0 v Q X V 0 b 1 J l b W 9 2 Z W R D b 2 x 1 b W 5 z M S 5 7 V G V t c G 8 s M X 0 m c X V v d D s s J n F 1 b 3 Q 7 U 2 V j d G l v b j E v S 2 5 v d G V u X 0 F N L 0 F 1 d G 9 S Z W 1 v d m V k Q 2 9 s d W 1 u c z E u e 0 t y Z W l z Z W x f M S w y f S Z x d W 9 0 O y w m c X V v d D t T Z W N 0 a W 9 u M S 9 L b m 9 0 Z W 5 f Q U 0 v Q X V 0 b 1 J l b W 9 2 Z W R D b 2 x 1 b W 5 z M S 5 7 T F N B L D N 9 J n F 1 b 3 Q 7 L C Z x d W 9 0 O 1 N l Y 3 R p b 2 4 x L 0 t u b 3 R l b l 9 B T S 9 B d X R v U m V t b 3 Z l Z E N v b H V t b n M x L n t B b n p h a G w g Q X J t L D R 9 J n F 1 b 3 Q 7 L C Z x d W 9 0 O 1 N l Y 3 R p b 2 4 x L 0 t u b 3 R l b l 9 B T S 9 B d X R v U m V t b 3 Z l Z E N v b H V t b n M x L n t T Z X B f V m V s b y w 1 f S Z x d W 9 0 O y w m c X V v d D t T Z W N 0 a W 9 u M S 9 L b m 9 0 Z W 5 f Q U 0 v Q X V 0 b 1 J l b W 9 2 Z W R D b 2 x 1 b W 5 z M S 5 7 R F R W X 0 s s N n 0 m c X V v d D s s J n F 1 b 3 Q 7 U 2 V j d G l v b j E v S 2 5 v d G V u X 0 F N L 0 F 1 d G 9 S Z W 1 v d m V k Q 2 9 s d W 1 u c z E u e 0 l E L D d 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T d H J l Y 2 t l b l 9 B T 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T N U M D U 6 M j E 6 M D c u M j k 2 N j g x N V o i L z 4 8 R W 5 0 c n k g V H l w Z T 0 i R m l s b E N v b H V t b l R 5 c G V z I i B W Y W x 1 Z T 0 i c 0 J n W U d C Z 0 1 E Q X d Z R 0 F 3 T T 0 i L z 4 8 R W 5 0 c n k g V H l w Z T 0 i R m l s b E N v b H V t b k 5 h b W V z I i B W Y W x 1 Z T 0 i c 1 s m c X V v d D t 1 d W l k J n F 1 b 3 Q 7 L C Z x d W 9 0 O 0 9 y d H N s Y W d l J n F 1 b 3 Q 7 L C Z x d W 9 0 O 3 N 0 c m F 0 e X A m c X V v d D s s J n F 1 b 3 Q 7 R s O 8 a H J 1 b m c m c X V v d D s s J n F 1 b 3 Q 7 R 2 V z Y 2 g g T n V 0 e i Z x d W 9 0 O y w m c X V v d D v D l m Y g V m V y a 2 V o J n F 1 b 3 Q 7 L C Z x d W 9 0 O 1 R y b 3 R 0 b 2 l y J n F 1 b 3 Q 7 L C Z x d W 9 0 O 1 Z l b G 9 h b m x h Z 2 U m c X V v d D s s J n F 1 b 3 Q 7 Q m V 0 c m l l Y n N h d C Z x d W 9 0 O y w m c X V v d D t E V F Y m c X V v d D s s J n F 1 b 3 Q 7 V G V t c G 8 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g 4 Y z c 1 Y z Q 0 L W Z k N W E t N G F k N i 0 4 M m N l L T V l M m U x M z d h O D A 1 Y i I v P j x F b n R y e S B U e X B l P S J S Z W x h d G l v b n N o a X B J b m Z v Q 2 9 u d G F p b m V y I i B W Y W x 1 Z T 0 i c 3 s m c X V v d D t j b 2 x 1 b W 5 D b 3 V u d C Z x d W 9 0 O z o x M S w m c X V v d D t r Z X l D b 2 x 1 b W 5 O Y W 1 l c y Z x d W 9 0 O z p b X S w m c X V v d D t x d W V y e V J l b G F 0 a W 9 u c 2 h p c H M m c X V v d D s 6 W 1 0 s J n F 1 b 3 Q 7 Y 2 9 s d W 1 u S W R l b n R p d G l l c y Z x d W 9 0 O z p b J n F 1 b 3 Q 7 U 2 V j d G l v b j E v U 3 R y Z W N r Z W 5 f Q U 0 v Q X V 0 b 1 J l b W 9 2 Z W R D b 2 x 1 b W 5 z M S 5 7 d X V p Z C w w f S Z x d W 9 0 O y w m c X V v d D t T Z W N 0 a W 9 u M S 9 T d H J l Y 2 t l b l 9 B T S 9 B d X R v U m V t b 3 Z l Z E N v b H V t b n M x L n t P c n R z b G F n Z S w x f S Z x d W 9 0 O y w m c X V v d D t T Z W N 0 a W 9 u M S 9 T d H J l Y 2 t l b l 9 B T S 9 B d X R v U m V t b 3 Z l Z E N v b H V t b n M x L n t z d H J h d H l w L D J 9 J n F 1 b 3 Q 7 L C Z x d W 9 0 O 1 N l Y 3 R p b 2 4 x L 1 N 0 c m V j a 2 V u X 0 F N L 0 F 1 d G 9 S Z W 1 v d m V k Q 2 9 s d W 1 u c z E u e 0 b D v G h y d W 5 n L D N 9 J n F 1 b 3 Q 7 L C Z x d W 9 0 O 1 N l Y 3 R p b 2 4 x L 1 N 0 c m V j a 2 V u X 0 F N L 0 F 1 d G 9 S Z W 1 v d m V k Q 2 9 s d W 1 u c z E u e 0 d l c 2 N o I E 5 1 d H o s N H 0 m c X V v d D s s J n F 1 b 3 Q 7 U 2 V j d G l v b j E v U 3 R y Z W N r Z W 5 f Q U 0 v Q X V 0 b 1 J l b W 9 2 Z W R D b 2 x 1 b W 5 z M S 5 7 w 5 Z m I F Z l c m t l a C w 1 f S Z x d W 9 0 O y w m c X V v d D t T Z W N 0 a W 9 u M S 9 T d H J l Y 2 t l b l 9 B T S 9 B d X R v U m V t b 3 Z l Z E N v b H V t b n M x L n t U c m 9 0 d G 9 p c i w 2 f S Z x d W 9 0 O y w m c X V v d D t T Z W N 0 a W 9 u M S 9 T d H J l Y 2 t l b l 9 B T S 9 B d X R v U m V t b 3 Z l Z E N v b H V t b n M x L n t W Z W x v Y W 5 s Y W d l L D d 9 J n F 1 b 3 Q 7 L C Z x d W 9 0 O 1 N l Y 3 R p b 2 4 x L 1 N 0 c m V j a 2 V u X 0 F N L 0 F 1 d G 9 S Z W 1 v d m V k Q 2 9 s d W 1 u c z E u e 0 J l d H J p Z W J z Y X Q s O H 0 m c X V v d D s s J n F 1 b 3 Q 7 U 2 V j d G l v b j E v U 3 R y Z W N r Z W 5 f Q U 0 v Q X V 0 b 1 J l b W 9 2 Z W R D b 2 x 1 b W 5 z M S 5 7 R F R W L D l 9 J n F 1 b 3 Q 7 L C Z x d W 9 0 O 1 N l Y 3 R p b 2 4 x L 1 N 0 c m V j a 2 V u X 0 F N L 0 F 1 d G 9 S Z W 1 v d m V k Q 2 9 s d W 1 u c z E u e 1 R l b X B v L D E w f S Z x d W 9 0 O 1 0 s J n F 1 b 3 Q 7 Q 2 9 s d W 1 u Q 2 9 1 b n Q m c X V v d D s 6 M T E s J n F 1 b 3 Q 7 S 2 V 5 Q 2 9 s d W 1 u T m F t Z X M m c X V v d D s 6 W 1 0 s J n F 1 b 3 Q 7 Q 2 9 s d W 1 u S W R l b n R p d G l l c y Z x d W 9 0 O z p b J n F 1 b 3 Q 7 U 2 V j d G l v b j E v U 3 R y Z W N r Z W 5 f Q U 0 v Q X V 0 b 1 J l b W 9 2 Z W R D b 2 x 1 b W 5 z M S 5 7 d X V p Z C w w f S Z x d W 9 0 O y w m c X V v d D t T Z W N 0 a W 9 u M S 9 T d H J l Y 2 t l b l 9 B T S 9 B d X R v U m V t b 3 Z l Z E N v b H V t b n M x L n t P c n R z b G F n Z S w x f S Z x d W 9 0 O y w m c X V v d D t T Z W N 0 a W 9 u M S 9 T d H J l Y 2 t l b l 9 B T S 9 B d X R v U m V t b 3 Z l Z E N v b H V t b n M x L n t z d H J h d H l w L D J 9 J n F 1 b 3 Q 7 L C Z x d W 9 0 O 1 N l Y 3 R p b 2 4 x L 1 N 0 c m V j a 2 V u X 0 F N L 0 F 1 d G 9 S Z W 1 v d m V k Q 2 9 s d W 1 u c z E u e 0 b D v G h y d W 5 n L D N 9 J n F 1 b 3 Q 7 L C Z x d W 9 0 O 1 N l Y 3 R p b 2 4 x L 1 N 0 c m V j a 2 V u X 0 F N L 0 F 1 d G 9 S Z W 1 v d m V k Q 2 9 s d W 1 u c z E u e 0 d l c 2 N o I E 5 1 d H o s N H 0 m c X V v d D s s J n F 1 b 3 Q 7 U 2 V j d G l v b j E v U 3 R y Z W N r Z W 5 f Q U 0 v Q X V 0 b 1 J l b W 9 2 Z W R D b 2 x 1 b W 5 z M S 5 7 w 5 Z m I F Z l c m t l a C w 1 f S Z x d W 9 0 O y w m c X V v d D t T Z W N 0 a W 9 u M S 9 T d H J l Y 2 t l b l 9 B T S 9 B d X R v U m V t b 3 Z l Z E N v b H V t b n M x L n t U c m 9 0 d G 9 p c i w 2 f S Z x d W 9 0 O y w m c X V v d D t T Z W N 0 a W 9 u M S 9 T d H J l Y 2 t l b l 9 B T S 9 B d X R v U m V t b 3 Z l Z E N v b H V t b n M x L n t W Z W x v Y W 5 s Y W d l L D d 9 J n F 1 b 3 Q 7 L C Z x d W 9 0 O 1 N l Y 3 R p b 2 4 x L 1 N 0 c m V j a 2 V u X 0 F N L 0 F 1 d G 9 S Z W 1 v d m V k Q 2 9 s d W 1 u c z E u e 0 J l d H J p Z W J z Y X Q s O H 0 m c X V v d D s s J n F 1 b 3 Q 7 U 2 V j d G l v b j E v U 3 R y Z W N r Z W 5 f Q U 0 v Q X V 0 b 1 J l b W 9 2 Z W R D b 2 x 1 b W 5 z M S 5 7 R F R W L D l 9 J n F 1 b 3 Q 7 L C Z x d W 9 0 O 1 N l Y 3 R p b 2 4 x L 1 N 0 c m V j a 2 V u X 0 F N L 0 F 1 d G 9 S Z W 1 v d m V k Q 2 9 s d W 1 u c z E u e 1 R l b X B v 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S 2 5 v d G V u X 0 F N X z M 8 L 0 l 0 Z W 1 Q Y X R o P j w v S X R l b U x v Y 2 F 0 a W 9 u P j x T d G F i b G V F b n R y a W V z P j x F b n R y e S B U e X B l P S J B Z G R l Z F R v R G F 0 Y U 1 v Z G V s I i B W Y W x 1 Z T 0 i b D A i L z 4 8 R W 5 0 c n k g V H l w Z T 0 i Q n V m Z m V y T m V 4 d F J l Z n J l c 2 g i I F Z h b H V l P S J s M S I v P j x F b n R y e S B U e X B l P S J G a W x s Q 2 9 1 b n Q i I F Z h b H V l P S J s O T Q i L z 4 8 R W 5 0 c n k g V H l w Z T 0 i R m l s b E V u Y W J s Z W Q i I F Z h b H V l P S J s M C I v P j x F b n R y e S B U e X B l P S J G a W x s R X J y b 3 J D b 2 R l I i B W Y W x 1 Z T 0 i c 1 V u a 2 5 v d 2 4 i L z 4 8 R W 5 0 c n k g V H l w Z T 0 i R m l s b E V y c m 9 y Q 2 9 1 b n Q i I F Z h b H V l P S J s M C I v P j x F b n R y e S B U e X B l P S J G a W x s T G F z d F V w Z G F 0 Z W Q i I F Z h b H V l P S J k M j A y N S 0 w N S 0 y M 1 Q x O T o y O D o z M S 4 5 O T k 1 O T g 2 W i I v P j x F b n R y e S B U e X B l P S J G a W x s Q 2 9 s d W 1 u V H l w Z X M i I F Z h b H V l P S J z Q m d Z R E F 3 W U R B d 0 1 E Q X d Z R C I v P j x F b n R y e S B U e X B l P S J G a W x s Q 2 9 s d W 1 u T m F t Z X M i I F Z h b H V l P S J z W y Z x d W 9 0 O 1 d L V C Z x d W 9 0 O y w m c X V v d D t P c n R z b G F n Z S Z x d W 9 0 O y w m c X V v d D t L c m V p c 2 V s X z E m c X V v d D s s J n F 1 b 3 Q 7 T F N B J n F 1 b 3 Q 7 L C Z x d W 9 0 O 0 F u e m F o b C B B c m 0 m c X V v d D s s J n F 1 b 3 Q 7 U 2 V w X 1 Z l b G 8 m c X V v d D s s J n F 1 b 3 Q 7 R F R W X 0 s m c X V v d D s s J n F 1 b 3 Q 7 S U Q m c X V v d D s s J n F 1 b 3 Q 7 V V N Q J n F 1 b 3 Q 7 L C Z x d W 9 0 O 0 t y Z V 9 G Y W h y J n F 1 b 3 Q 7 L C Z x d W 9 0 O 2 d l b 2 0 m c X V v d D s s J n F 1 b 3 Q 7 U 2 N o d W x 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Y m Y 4 Y W R i O C 0 x M z A 2 L T R h M G M t Y m Q 4 O S 0 z O G E y O W N j M z A 0 Z j k i L z 4 8 R W 5 0 c n k g V H l w Z T 0 i U m V s Y X R p b 2 5 z a G l w S W 5 m b 0 N v b n R h a W 5 l c i I g V m F s d W U 9 I n N 7 J n F 1 b 3 Q 7 Y 2 9 s d W 1 u Q 2 9 1 b n Q m c X V v d D s 6 M T I s J n F 1 b 3 Q 7 a 2 V 5 Q 2 9 s d W 1 u T m F t Z X M m c X V v d D s 6 W 1 0 s J n F 1 b 3 Q 7 c X V l c n l S Z W x h d G l v b n N o a X B z J n F 1 b 3 Q 7 O l t d L C Z x d W 9 0 O 2 N v b H V t b k l k Z W 5 0 a X R p Z X M m c X V v d D s 6 W y Z x d W 9 0 O 1 N l Y 3 R p b 2 4 x L 0 t u b 3 R l b l 9 B T V 8 z L 0 F 1 d G 9 S Z W 1 v d m V k Q 2 9 s d W 1 u c z E u e 1 d L V C w w f S Z x d W 9 0 O y w m c X V v d D t T Z W N 0 a W 9 u M S 9 L b m 9 0 Z W 5 f Q U 1 f M y 9 B d X R v U m V t b 3 Z l Z E N v b H V t b n M x L n t P c n R z b G F n Z S w x f S Z x d W 9 0 O y w m c X V v d D t T Z W N 0 a W 9 u M S 9 L b m 9 0 Z W 5 f Q U 1 f M y 9 B d X R v U m V t b 3 Z l Z E N v b H V t b n M x L n t L c m V p c 2 V s X z E s M n 0 m c X V v d D s s J n F 1 b 3 Q 7 U 2 V j d G l v b j E v S 2 5 v d G V u X 0 F N X z M v Q X V 0 b 1 J l b W 9 2 Z W R D b 2 x 1 b W 5 z M S 5 7 T F N B L D N 9 J n F 1 b 3 Q 7 L C Z x d W 9 0 O 1 N l Y 3 R p b 2 4 x L 0 t u b 3 R l b l 9 B T V 8 z L 0 F 1 d G 9 S Z W 1 v d m V k Q 2 9 s d W 1 u c z E u e 0 F u e m F o b C B B c m 0 s N H 0 m c X V v d D s s J n F 1 b 3 Q 7 U 2 V j d G l v b j E v S 2 5 v d G V u X 0 F N X z M v Q X V 0 b 1 J l b W 9 2 Z W R D b 2 x 1 b W 5 z M S 5 7 U 2 V w X 1 Z l b G 8 s N X 0 m c X V v d D s s J n F 1 b 3 Q 7 U 2 V j d G l v b j E v S 2 5 v d G V u X 0 F N X z M v Q X V 0 b 1 J l b W 9 2 Z W R D b 2 x 1 b W 5 z M S 5 7 R F R W X 0 s s N n 0 m c X V v d D s s J n F 1 b 3 Q 7 U 2 V j d G l v b j E v S 2 5 v d G V u X 0 F N X z M v Q X V 0 b 1 J l b W 9 2 Z W R D b 2 x 1 b W 5 z M S 5 7 S U Q s N 3 0 m c X V v d D s s J n F 1 b 3 Q 7 U 2 V j d G l v b j E v S 2 5 v d G V u X 0 F N X z M v Q X V 0 b 1 J l b W 9 2 Z W R D b 2 x 1 b W 5 z M S 5 7 V V N Q L D h 9 J n F 1 b 3 Q 7 L C Z x d W 9 0 O 1 N l Y 3 R p b 2 4 x L 0 t u b 3 R l b l 9 B T V 8 z L 0 F 1 d G 9 S Z W 1 v d m V k Q 2 9 s d W 1 u c z E u e 0 t y Z V 9 G Y W h y L D l 9 J n F 1 b 3 Q 7 L C Z x d W 9 0 O 1 N l Y 3 R p b 2 4 x L 0 t u b 3 R l b l 9 B T V 8 z L 0 F 1 d G 9 S Z W 1 v d m V k Q 2 9 s d W 1 u c z E u e 2 d l b 2 0 s M T B 9 J n F 1 b 3 Q 7 L C Z x d W 9 0 O 1 N l Y 3 R p b 2 4 x L 0 t u b 3 R l b l 9 B T V 8 z L 0 F 1 d G 9 S Z W 1 v d m V k Q 2 9 s d W 1 u c z E u e 1 N j a H V s Z S w x M X 0 m c X V v d D t d L C Z x d W 9 0 O 0 N v b H V t b k N v d W 5 0 J n F 1 b 3 Q 7 O j E y L C Z x d W 9 0 O 0 t l e U N v b H V t b k 5 h b W V z J n F 1 b 3 Q 7 O l t d L C Z x d W 9 0 O 0 N v b H V t b k l k Z W 5 0 a X R p Z X M m c X V v d D s 6 W y Z x d W 9 0 O 1 N l Y 3 R p b 2 4 x L 0 t u b 3 R l b l 9 B T V 8 z L 0 F 1 d G 9 S Z W 1 v d m V k Q 2 9 s d W 1 u c z E u e 1 d L V C w w f S Z x d W 9 0 O y w m c X V v d D t T Z W N 0 a W 9 u M S 9 L b m 9 0 Z W 5 f Q U 1 f M y 9 B d X R v U m V t b 3 Z l Z E N v b H V t b n M x L n t P c n R z b G F n Z S w x f S Z x d W 9 0 O y w m c X V v d D t T Z W N 0 a W 9 u M S 9 L b m 9 0 Z W 5 f Q U 1 f M y 9 B d X R v U m V t b 3 Z l Z E N v b H V t b n M x L n t L c m V p c 2 V s X z E s M n 0 m c X V v d D s s J n F 1 b 3 Q 7 U 2 V j d G l v b j E v S 2 5 v d G V u X 0 F N X z M v Q X V 0 b 1 J l b W 9 2 Z W R D b 2 x 1 b W 5 z M S 5 7 T F N B L D N 9 J n F 1 b 3 Q 7 L C Z x d W 9 0 O 1 N l Y 3 R p b 2 4 x L 0 t u b 3 R l b l 9 B T V 8 z L 0 F 1 d G 9 S Z W 1 v d m V k Q 2 9 s d W 1 u c z E u e 0 F u e m F o b C B B c m 0 s N H 0 m c X V v d D s s J n F 1 b 3 Q 7 U 2 V j d G l v b j E v S 2 5 v d G V u X 0 F N X z M v Q X V 0 b 1 J l b W 9 2 Z W R D b 2 x 1 b W 5 z M S 5 7 U 2 V w X 1 Z l b G 8 s N X 0 m c X V v d D s s J n F 1 b 3 Q 7 U 2 V j d G l v b j E v S 2 5 v d G V u X 0 F N X z M v Q X V 0 b 1 J l b W 9 2 Z W R D b 2 x 1 b W 5 z M S 5 7 R F R W X 0 s s N n 0 m c X V v d D s s J n F 1 b 3 Q 7 U 2 V j d G l v b j E v S 2 5 v d G V u X 0 F N X z M v Q X V 0 b 1 J l b W 9 2 Z W R D b 2 x 1 b W 5 z M S 5 7 S U Q s N 3 0 m c X V v d D s s J n F 1 b 3 Q 7 U 2 V j d G l v b j E v S 2 5 v d G V u X 0 F N X z M v Q X V 0 b 1 J l b W 9 2 Z W R D b 2 x 1 b W 5 z M S 5 7 V V N Q L D h 9 J n F 1 b 3 Q 7 L C Z x d W 9 0 O 1 N l Y 3 R p b 2 4 x L 0 t u b 3 R l b l 9 B T V 8 z L 0 F 1 d G 9 S Z W 1 v d m V k Q 2 9 s d W 1 u c z E u e 0 t y Z V 9 G Y W h y L D l 9 J n F 1 b 3 Q 7 L C Z x d W 9 0 O 1 N l Y 3 R p b 2 4 x L 0 t u b 3 R l b l 9 B T V 8 z L 0 F 1 d G 9 S Z W 1 v d m V k Q 2 9 s d W 1 u c z E u e 2 d l b 2 0 s M T B 9 J n F 1 b 3 Q 7 L C Z x d W 9 0 O 1 N l Y 3 R p b 2 4 x L 0 t u b 3 R l b l 9 B T V 8 z L 0 F 1 d G 9 S Z W 1 v d m V k Q 2 9 s d W 1 u c z E u e 1 N j a H V s Z S w x 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0 t u b 3 R l b l 9 B T S 9 R d W V s b G U 8 L 0 l 0 Z W 1 Q Y X R o P j w v S X R l b U x v Y 2 F 0 a W 9 u P j x T d G F i b G V F b n R y a W V z L z 4 8 L 0 l 0 Z W 0 + P E l 0 Z W 0 + P E l 0 Z W 1 M b 2 N h d G l v b j 4 8 S X R l b V R 5 c G U + R m 9 y b X V s Y T w v S X R l b V R 5 c G U + P E l 0 Z W 1 Q Y X R o P l N l Y 3 R p b 2 4 x L 0 t u b 3 R l b l 9 B T S 9 I J U M z J U I 2 a G V y J T I w Z 2 V z d H V m d G U l M j B I Z W F k Z X I 8 L 0 l 0 Z W 1 Q Y X R o P j w v S X R l b U x v Y 2 F 0 a W 9 u P j x T d G F i b G V F b n R y a W V z L z 4 8 L 0 l 0 Z W 0 + P E l 0 Z W 0 + P E l 0 Z W 1 M b 2 N h d G l v b j 4 8 S X R l b V R 5 c G U + R m 9 y b X V s Y T w v S X R l b V R 5 c G U + P E l 0 Z W 1 Q Y X R o P l N l Y 3 R p b 2 4 x L 0 t u b 3 R l b l 9 B T S 9 H Z S V D M y V B N G 5 k Z X J 0 Z X I l M j B U e X A 8 L 0 l 0 Z W 1 Q Y X R o P j w v S X R l b U x v Y 2 F 0 a W 9 u P j x T d G F i b G V F b n R y a W V z L z 4 8 L 0 l 0 Z W 0 + P E l 0 Z W 0 + P E l 0 Z W 1 M b 2 N h d G l v b j 4 8 S X R l b V R 5 c G U + R m 9 y b X V s Y T w v S X R l b V R 5 c G U + P E l 0 Z W 1 Q Y X R o P l N l Y 3 R p b 2 4 x L 1 N 0 c m V j a 2 V u X 0 F N L 1 F 1 Z W x s Z T w v S X R l b V B h d G g + P C 9 J d G V t T G 9 j Y X R p b 2 4 + P F N 0 Y W J s Z U V u d H J p Z X M v P j w v S X R l b T 4 8 S X R l b T 4 8 S X R l b U x v Y 2 F 0 a W 9 u P j x J d G V t V H l w Z T 5 G b 3 J t d W x h P C 9 J d G V t V H l w Z T 4 8 S X R l b V B h d G g + U 2 V j d G l v b j E v U 3 R y Z W N r Z W 5 f Q U 0 v S C V D M y V C N m h l c i U y M G d l c 3 R 1 Z n R l J T I w S G V h Z G V y P C 9 J d G V t U G F 0 a D 4 8 L 0 l 0 Z W 1 M b 2 N h d G l v b j 4 8 U 3 R h Y m x l R W 5 0 c m l l c y 8 + P C 9 J d G V t P j x J d G V t P j x J d G V t T G 9 j Y X R p b 2 4 + P E l 0 Z W 1 U e X B l P k Z v c m 1 1 b G E 8 L 0 l 0 Z W 1 U e X B l P j x J d G V t U G F 0 a D 5 T Z W N 0 a W 9 u M S 9 T d H J l Y 2 t l b l 9 B T S 9 H Z S V D M y V B N G 5 k Z X J 0 Z X I l M j B U e X A 8 L 0 l 0 Z W 1 Q Y X R o P j w v S X R l b U x v Y 2 F 0 a W 9 u P j x T d G F i b G V F b n R y a W V z L z 4 8 L 0 l 0 Z W 0 + P E l 0 Z W 0 + P E l 0 Z W 1 M b 2 N h d G l v b j 4 8 S X R l b V R 5 c G U + R m 9 y b X V s Y T w v S X R l b V R 5 c G U + P E l 0 Z W 1 Q Y X R o P l N l Y 3 R p b 2 4 x L 0 t u b 3 R l b l 9 B T V 8 z L 1 F 1 Z W x s Z T w v S X R l b V B h d G g + P C 9 J d G V t T G 9 j Y X R p b 2 4 + P F N 0 Y W J s Z U V u d H J p Z X M v P j w v S X R l b T 4 8 S X R l b T 4 8 S X R l b U x v Y 2 F 0 a W 9 u P j x J d G V t V H l w Z T 5 G b 3 J t d W x h P C 9 J d G V t V H l w Z T 4 8 S X R l b V B h d G g + U 2 V j d G l v b j E v S 2 5 v d G V u X 0 F N X z M v S C V D M y V C N m h l c i U y M G d l c 3 R 1 Z n R l J T I w S G V h Z G V y P C 9 J d G V t U G F 0 a D 4 8 L 0 l 0 Z W 1 M b 2 N h d G l v b j 4 8 U 3 R h Y m x l R W 5 0 c m l l c y 8 + P C 9 J d G V t P j x J d G V t P j x J d G V t T G 9 j Y X R p b 2 4 + P E l 0 Z W 1 U e X B l P k Z v c m 1 1 b G E 8 L 0 l 0 Z W 1 U e X B l P j x J d G V t U G F 0 a D 5 T Z W N 0 a W 9 u M S 9 L b m 9 0 Z W 5 f Q U 1 f M y 9 H Z S V D M y V B N G 5 k Z X J 0 Z X I l M j B U e X A 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B I t d W Q 0 e d W R q L y O s z D O W T h A A A A A A I A A A A A A B B m A A A A A Q A A I A A A A B n + A T r J R J 2 T j B a L p P d f Q + o L F z q y M U h 9 0 m E o s 3 w k x i X u A A A A A A 6 A A A A A A g A A I A A A A C I J v T Z C S 1 o / 3 j t 6 P x W 0 X 5 z C R j 0 n T 0 7 j R L l k s X F m K C X 1 U A A A A N U x p z F N K a V O O Q s v v F q o 5 N b S t Y l + P 5 W 8 B D i s n 2 8 1 l 9 S / L l p 1 L W I h M B g X T Q 7 + 9 5 h O Z Y V n 7 M c + v h / Q D s 4 S A w A 7 9 j x d 7 f O T U I 2 U O N A A Y F 6 A f u T t Q A A A A O u g 3 6 0 A g j n t o Y n 2 g 9 Z R U F h 7 T 5 r u B 0 l j K z Z b o d R W r 3 z s 3 v v 4 S 7 F K i 1 z S n J H z W D 3 w O i + B P F o D x D 8 L y E c I L k z g j v s = < / 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edd9afa-d355-4e8b-91a4-e073ebeebe63">
      <Terms xmlns="http://schemas.microsoft.com/office/infopath/2007/PartnerControls"/>
    </lcf76f155ced4ddcb4097134ff3c332f>
    <TaxCatchAll xmlns="fff532d3-b08c-4f31-ae20-cc54b5e4b586" xsi:nil="true"/>
  </documentManagement>
</p:properties>
</file>

<file path=customXml/itemProps1.xml><?xml version="1.0" encoding="utf-8"?>
<ds:datastoreItem xmlns:ds="http://schemas.openxmlformats.org/officeDocument/2006/customXml" ds:itemID="{BB1BEA66-7D45-486C-AAD2-45B1FD231AD8}">
  <ds:schemaRefs>
    <ds:schemaRef ds:uri="http://schemas.microsoft.com/sharepoint/v3/contenttype/forms"/>
  </ds:schemaRefs>
</ds:datastoreItem>
</file>

<file path=customXml/itemProps2.xml><?xml version="1.0" encoding="utf-8"?>
<ds:datastoreItem xmlns:ds="http://schemas.openxmlformats.org/officeDocument/2006/customXml" ds:itemID="{929BB52D-B7A7-43B9-923F-C8213B5D4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d9afa-d355-4e8b-91a4-e073ebeebe63"/>
    <ds:schemaRef ds:uri="fff532d3-b08c-4f31-ae20-cc54b5e4b5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8CBFB6-1822-40B9-9687-07286C514314}">
  <ds:schemaRefs>
    <ds:schemaRef ds:uri="http://schemas.microsoft.com/DataMashup"/>
  </ds:schemaRefs>
</ds:datastoreItem>
</file>

<file path=customXml/itemProps4.xml><?xml version="1.0" encoding="utf-8"?>
<ds:datastoreItem xmlns:ds="http://schemas.openxmlformats.org/officeDocument/2006/customXml" ds:itemID="{6AE47B90-91F8-4C80-AE05-4A75F4C15CB5}">
  <ds:schemaRef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 ds:uri="fff532d3-b08c-4f31-ae20-cc54b5e4b586"/>
    <ds:schemaRef ds:uri="8edd9afa-d355-4e8b-91a4-e073ebeebe63"/>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Aperçu</vt:lpstr>
      <vt:lpstr>Étape 1 - Conditions</vt:lpstr>
      <vt:lpstr>Étape 2 - Adéquation du tronçon</vt:lpstr>
      <vt:lpstr>2.1 Évaluations</vt:lpstr>
      <vt:lpstr>2.2 Nbre (densité) acc.</vt:lpstr>
      <vt:lpstr>2.3 Gravité des accidents</vt:lpstr>
      <vt:lpstr>2.4 wsLookup</vt:lpstr>
      <vt:lpstr>Étape 3-Capacité assumer condui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Zimmermann Jasmin</dc:creator>
  <cp:keywords/>
  <dc:description/>
  <cp:lastModifiedBy>Stalder Lorenz ASTRA</cp:lastModifiedBy>
  <cp:revision/>
  <cp:lastPrinted>2025-05-15T14:27:04Z</cp:lastPrinted>
  <dcterms:created xsi:type="dcterms:W3CDTF">2025-01-24T09:00:37Z</dcterms:created>
  <dcterms:modified xsi:type="dcterms:W3CDTF">2025-12-09T12:39:50Z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0x0101001E55EC89BC5E3A48BC835E9AAEBA8DBE</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2025-12-09T12:37:04Z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2b9ba2f6-f18e-41b5-9c0a-ac0e24bc4182</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ies>
</file>